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 папка\КОМПЛЕКСНЫЙ ПЛАН\Еженедельный отчет исполнения КП Главе ТДНМР\"/>
    </mc:Choice>
  </mc:AlternateContent>
  <bookViews>
    <workbookView xWindow="-120" yWindow="-120" windowWidth="29040" windowHeight="15720"/>
  </bookViews>
  <sheets>
    <sheet name="только 2024" sheetId="4" r:id="rId1"/>
    <sheet name="общий" sheetId="3" r:id="rId2"/>
    <sheet name="2024-2026" sheetId="1" r:id="rId3"/>
  </sheets>
  <definedNames>
    <definedName name="_xlnm._FilterDatabase" localSheetId="2" hidden="1">'2024-2026'!$A$9:$L$265</definedName>
    <definedName name="_xlnm._FilterDatabase" localSheetId="0" hidden="1">'только 2024'!$A$5:$O$69</definedName>
    <definedName name="Z_0CDE39B9_2C5F_40C7_B8F9_2903E60F4ACF_.wvu.Cols" localSheetId="2" hidden="1">'2024-2026'!#REF!</definedName>
    <definedName name="Z_0CDE39B9_2C5F_40C7_B8F9_2903E60F4ACF_.wvu.Cols" localSheetId="0" hidden="1">'только 2024'!#REF!</definedName>
    <definedName name="Z_0CDE39B9_2C5F_40C7_B8F9_2903E60F4ACF_.wvu.FilterData" localSheetId="2" hidden="1">'2024-2026'!#REF!</definedName>
    <definedName name="Z_0CDE39B9_2C5F_40C7_B8F9_2903E60F4ACF_.wvu.FilterData" localSheetId="0" hidden="1">'только 2024'!#REF!</definedName>
    <definedName name="Z_0CDE39B9_2C5F_40C7_B8F9_2903E60F4ACF_.wvu.PrintArea" localSheetId="2" hidden="1">'2024-2026'!$A$1:$I$90</definedName>
    <definedName name="Z_0CDE39B9_2C5F_40C7_B8F9_2903E60F4ACF_.wvu.PrintArea" localSheetId="0" hidden="1">'только 2024'!$B$1:$E$33</definedName>
    <definedName name="Z_0CDE39B9_2C5F_40C7_B8F9_2903E60F4ACF_.wvu.PrintTitles" localSheetId="2" hidden="1">'2024-2026'!$7:$9</definedName>
    <definedName name="Z_0CDE39B9_2C5F_40C7_B8F9_2903E60F4ACF_.wvu.PrintTitles" localSheetId="0" hidden="1">'только 2024'!$3:$5</definedName>
    <definedName name="_xlnm.Print_Titles" localSheetId="2">'2024-2026'!$7:$9</definedName>
    <definedName name="_xlnm.Print_Titles" localSheetId="0">'только 2024'!$3:$5</definedName>
    <definedName name="_xlnm.Print_Area" localSheetId="2">'2024-2026'!$A$1:$I$265</definedName>
    <definedName name="_xlnm.Print_Area" localSheetId="1">общий!$A$1:$O$410</definedName>
    <definedName name="_xlnm.Print_Area" localSheetId="0">'только 2024'!$B$1:$N$69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4" l="1"/>
  <c r="K13" i="4" l="1"/>
  <c r="K14" i="4" l="1"/>
  <c r="F62" i="4" l="1"/>
  <c r="K48" i="4" l="1"/>
  <c r="L48" i="4"/>
  <c r="L54" i="4" l="1"/>
  <c r="L55" i="4"/>
  <c r="L49" i="4" l="1"/>
  <c r="K49" i="4"/>
  <c r="K69" i="4" l="1"/>
  <c r="H38" i="4" l="1"/>
  <c r="F30" i="4" l="1"/>
  <c r="I49" i="4" l="1"/>
  <c r="L56" i="4" l="1"/>
  <c r="K56" i="4"/>
  <c r="J56" i="4"/>
  <c r="I56" i="4"/>
  <c r="H56" i="4"/>
  <c r="G56" i="4"/>
  <c r="E56" i="4"/>
  <c r="L12" i="4"/>
  <c r="K12" i="4"/>
  <c r="J12" i="4"/>
  <c r="I12" i="4"/>
  <c r="H12" i="4"/>
  <c r="G12" i="4"/>
  <c r="L11" i="4"/>
  <c r="K11" i="4"/>
  <c r="L10" i="4"/>
  <c r="K10" i="4"/>
  <c r="L9" i="4"/>
  <c r="K9" i="4"/>
  <c r="J11" i="4"/>
  <c r="J9" i="4"/>
  <c r="J10" i="4"/>
  <c r="H10" i="4"/>
  <c r="G10" i="4"/>
  <c r="F69" i="4"/>
  <c r="F68" i="4"/>
  <c r="F67" i="4"/>
  <c r="F55" i="4"/>
  <c r="F54" i="4"/>
  <c r="F53" i="4"/>
  <c r="F52" i="4"/>
  <c r="F51" i="4"/>
  <c r="F50" i="4"/>
  <c r="F49" i="4"/>
  <c r="F48" i="4"/>
  <c r="F65" i="4"/>
  <c r="F46" i="4"/>
  <c r="F45" i="4"/>
  <c r="F43" i="4"/>
  <c r="F41" i="4"/>
  <c r="F64" i="4"/>
  <c r="F63" i="4"/>
  <c r="F61" i="4"/>
  <c r="F60" i="4"/>
  <c r="F40" i="4"/>
  <c r="F39" i="4"/>
  <c r="F38" i="4"/>
  <c r="F37" i="4"/>
  <c r="F36" i="4"/>
  <c r="F58" i="4"/>
  <c r="F57" i="4"/>
  <c r="F33" i="4"/>
  <c r="F32" i="4"/>
  <c r="F31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3" i="4"/>
  <c r="F56" i="4" l="1"/>
  <c r="F14" i="4"/>
  <c r="J7" i="4"/>
  <c r="J72" i="4" s="1"/>
  <c r="L7" i="4"/>
  <c r="L72" i="4" s="1"/>
  <c r="K7" i="4"/>
  <c r="K72" i="4" s="1"/>
  <c r="M11" i="1" l="1"/>
  <c r="H9" i="4"/>
  <c r="I9" i="4"/>
  <c r="G11" i="4"/>
  <c r="H11" i="4"/>
  <c r="I11" i="4"/>
  <c r="H7" i="4" l="1"/>
  <c r="H72" i="4" s="1"/>
  <c r="G34" i="4" l="1"/>
  <c r="G9" i="4" l="1"/>
  <c r="G7" i="4" s="1"/>
  <c r="G72" i="4" s="1"/>
  <c r="F34" i="4"/>
  <c r="L348" i="3" l="1"/>
  <c r="H227" i="1"/>
  <c r="I227" i="1"/>
  <c r="H228" i="1"/>
  <c r="I228" i="1"/>
  <c r="H229" i="1"/>
  <c r="I229" i="1"/>
  <c r="H230" i="1"/>
  <c r="I230" i="1"/>
  <c r="G228" i="1"/>
  <c r="G229" i="1"/>
  <c r="G230" i="1"/>
  <c r="G227" i="1"/>
  <c r="G148" i="1"/>
  <c r="F11" i="4"/>
  <c r="I10" i="4" l="1"/>
  <c r="I7" i="4" s="1"/>
  <c r="F9" i="4"/>
  <c r="E37" i="4"/>
  <c r="E11" i="4" s="1"/>
  <c r="M14" i="1" s="1"/>
  <c r="E9" i="4"/>
  <c r="M12" i="1" s="1"/>
  <c r="H17" i="1"/>
  <c r="I17" i="1"/>
  <c r="H18" i="1"/>
  <c r="I18" i="1"/>
  <c r="H19" i="1"/>
  <c r="I19" i="1"/>
  <c r="H20" i="1"/>
  <c r="I20" i="1"/>
  <c r="G18" i="1"/>
  <c r="G19" i="1"/>
  <c r="G20" i="1"/>
  <c r="G17" i="1"/>
  <c r="H152" i="1"/>
  <c r="I152" i="1"/>
  <c r="H153" i="1"/>
  <c r="I153" i="1"/>
  <c r="H154" i="1"/>
  <c r="I154" i="1"/>
  <c r="H155" i="1"/>
  <c r="I155" i="1"/>
  <c r="G155" i="1"/>
  <c r="G154" i="1"/>
  <c r="G153" i="1"/>
  <c r="G152" i="1"/>
  <c r="H122" i="1"/>
  <c r="I122" i="1"/>
  <c r="H123" i="1"/>
  <c r="I123" i="1"/>
  <c r="H124" i="1"/>
  <c r="I124" i="1"/>
  <c r="H125" i="1"/>
  <c r="I125" i="1"/>
  <c r="G125" i="1"/>
  <c r="G124" i="1"/>
  <c r="G123" i="1"/>
  <c r="G122" i="1"/>
  <c r="H72" i="1"/>
  <c r="I72" i="1"/>
  <c r="H73" i="1"/>
  <c r="I73" i="1"/>
  <c r="H74" i="1"/>
  <c r="I74" i="1"/>
  <c r="H75" i="1"/>
  <c r="I75" i="1"/>
  <c r="G75" i="1"/>
  <c r="G74" i="1"/>
  <c r="G73" i="1"/>
  <c r="G72" i="1"/>
  <c r="H27" i="1"/>
  <c r="I27" i="1"/>
  <c r="H28" i="1"/>
  <c r="I28" i="1"/>
  <c r="H29" i="1"/>
  <c r="I29" i="1"/>
  <c r="H30" i="1"/>
  <c r="I30" i="1"/>
  <c r="G30" i="1"/>
  <c r="G29" i="1"/>
  <c r="G28" i="1"/>
  <c r="G27" i="1"/>
  <c r="H22" i="1"/>
  <c r="I22" i="1"/>
  <c r="I23" i="1"/>
  <c r="H24" i="1"/>
  <c r="I24" i="1"/>
  <c r="H25" i="1"/>
  <c r="I25" i="1"/>
  <c r="G25" i="1"/>
  <c r="G24" i="1"/>
  <c r="G22" i="1"/>
  <c r="H220" i="1"/>
  <c r="I220" i="1"/>
  <c r="G220" i="1"/>
  <c r="H217" i="1"/>
  <c r="I217" i="1"/>
  <c r="H218" i="1"/>
  <c r="I218" i="1"/>
  <c r="H219" i="1"/>
  <c r="I219" i="1"/>
  <c r="G219" i="1"/>
  <c r="G218" i="1"/>
  <c r="G217" i="1"/>
  <c r="H107" i="1"/>
  <c r="I107" i="1"/>
  <c r="H108" i="1"/>
  <c r="I108" i="1"/>
  <c r="H109" i="1"/>
  <c r="I109" i="1"/>
  <c r="I110" i="1"/>
  <c r="G109" i="1"/>
  <c r="G108" i="1"/>
  <c r="G107" i="1"/>
  <c r="N410" i="3"/>
  <c r="K410" i="3"/>
  <c r="G410" i="3"/>
  <c r="N409" i="3"/>
  <c r="K409" i="3"/>
  <c r="G409" i="3"/>
  <c r="N408" i="3"/>
  <c r="G408" i="3" s="1"/>
  <c r="K408" i="3"/>
  <c r="N407" i="3"/>
  <c r="K407" i="3"/>
  <c r="G407" i="3"/>
  <c r="O406" i="3"/>
  <c r="M406" i="3"/>
  <c r="L406" i="3"/>
  <c r="N406" i="3" s="1"/>
  <c r="J406" i="3"/>
  <c r="I406" i="3"/>
  <c r="K406" i="3" s="1"/>
  <c r="H406" i="3"/>
  <c r="N405" i="3"/>
  <c r="K405" i="3"/>
  <c r="G405" i="3"/>
  <c r="N404" i="3"/>
  <c r="K404" i="3"/>
  <c r="G404" i="3"/>
  <c r="N403" i="3"/>
  <c r="K403" i="3"/>
  <c r="G403" i="3"/>
  <c r="N402" i="3"/>
  <c r="G402" i="3" s="1"/>
  <c r="K402" i="3"/>
  <c r="O401" i="3"/>
  <c r="M401" i="3"/>
  <c r="L401" i="3"/>
  <c r="J401" i="3"/>
  <c r="I401" i="3"/>
  <c r="N401" i="3" s="1"/>
  <c r="H401" i="3"/>
  <c r="N400" i="3"/>
  <c r="G400" i="3" s="1"/>
  <c r="K400" i="3"/>
  <c r="N399" i="3"/>
  <c r="G399" i="3" s="1"/>
  <c r="K399" i="3"/>
  <c r="N398" i="3"/>
  <c r="K398" i="3"/>
  <c r="G398" i="3"/>
  <c r="N397" i="3"/>
  <c r="K397" i="3"/>
  <c r="G397" i="3"/>
  <c r="G396" i="3" s="1"/>
  <c r="O396" i="3"/>
  <c r="N396" i="3"/>
  <c r="M396" i="3"/>
  <c r="L396" i="3"/>
  <c r="I396" i="3"/>
  <c r="K396" i="3" s="1"/>
  <c r="H396" i="3"/>
  <c r="N395" i="3"/>
  <c r="G395" i="3" s="1"/>
  <c r="K395" i="3"/>
  <c r="N394" i="3"/>
  <c r="K394" i="3"/>
  <c r="G394" i="3"/>
  <c r="N393" i="3"/>
  <c r="K393" i="3"/>
  <c r="G393" i="3"/>
  <c r="N392" i="3"/>
  <c r="G392" i="3" s="1"/>
  <c r="G391" i="3" s="1"/>
  <c r="K392" i="3"/>
  <c r="O391" i="3"/>
  <c r="M391" i="3"/>
  <c r="L391" i="3"/>
  <c r="I391" i="3"/>
  <c r="N391" i="3" s="1"/>
  <c r="H391" i="3"/>
  <c r="N390" i="3"/>
  <c r="G390" i="3" s="1"/>
  <c r="K390" i="3"/>
  <c r="N389" i="3"/>
  <c r="K389" i="3"/>
  <c r="G389" i="3"/>
  <c r="N388" i="3"/>
  <c r="K388" i="3"/>
  <c r="G388" i="3"/>
  <c r="N387" i="3"/>
  <c r="G387" i="3" s="1"/>
  <c r="G386" i="3" s="1"/>
  <c r="K387" i="3"/>
  <c r="O386" i="3"/>
  <c r="M386" i="3"/>
  <c r="L386" i="3"/>
  <c r="I386" i="3"/>
  <c r="H386" i="3"/>
  <c r="N385" i="3"/>
  <c r="G385" i="3" s="1"/>
  <c r="K385" i="3"/>
  <c r="N384" i="3"/>
  <c r="K384" i="3"/>
  <c r="G384" i="3"/>
  <c r="N383" i="3"/>
  <c r="K383" i="3"/>
  <c r="G383" i="3"/>
  <c r="N382" i="3"/>
  <c r="G382" i="3" s="1"/>
  <c r="K382" i="3"/>
  <c r="O381" i="3"/>
  <c r="M381" i="3"/>
  <c r="L381" i="3"/>
  <c r="N381" i="3" s="1"/>
  <c r="K381" i="3"/>
  <c r="I381" i="3"/>
  <c r="H381" i="3"/>
  <c r="G380" i="3"/>
  <c r="N379" i="3"/>
  <c r="K379" i="3"/>
  <c r="G379" i="3"/>
  <c r="N378" i="3"/>
  <c r="G378" i="3" s="1"/>
  <c r="K378" i="3"/>
  <c r="N377" i="3"/>
  <c r="K377" i="3"/>
  <c r="G377" i="3"/>
  <c r="O376" i="3"/>
  <c r="M376" i="3"/>
  <c r="L376" i="3"/>
  <c r="N376" i="3" s="1"/>
  <c r="J376" i="3"/>
  <c r="I376" i="3"/>
  <c r="K376" i="3" s="1"/>
  <c r="H376" i="3"/>
  <c r="N375" i="3"/>
  <c r="K375" i="3"/>
  <c r="G375" i="3"/>
  <c r="N374" i="3"/>
  <c r="K374" i="3"/>
  <c r="G374" i="3"/>
  <c r="N373" i="3"/>
  <c r="K373" i="3"/>
  <c r="G373" i="3"/>
  <c r="N372" i="3"/>
  <c r="G372" i="3" s="1"/>
  <c r="K372" i="3"/>
  <c r="O371" i="3"/>
  <c r="M371" i="3"/>
  <c r="L371" i="3"/>
  <c r="K371" i="3"/>
  <c r="I371" i="3"/>
  <c r="H371" i="3"/>
  <c r="N370" i="3"/>
  <c r="K370" i="3"/>
  <c r="G370" i="3"/>
  <c r="G366" i="3" s="1"/>
  <c r="N369" i="3"/>
  <c r="K369" i="3"/>
  <c r="G369" i="3"/>
  <c r="N368" i="3"/>
  <c r="G368" i="3" s="1"/>
  <c r="K368" i="3"/>
  <c r="N367" i="3"/>
  <c r="G367" i="3" s="1"/>
  <c r="K367" i="3"/>
  <c r="O366" i="3"/>
  <c r="N366" i="3"/>
  <c r="M366" i="3"/>
  <c r="L366" i="3"/>
  <c r="J366" i="3"/>
  <c r="I366" i="3"/>
  <c r="K366" i="3" s="1"/>
  <c r="H366" i="3"/>
  <c r="N365" i="3"/>
  <c r="G365" i="3" s="1"/>
  <c r="K365" i="3"/>
  <c r="N364" i="3"/>
  <c r="K364" i="3"/>
  <c r="G364" i="3"/>
  <c r="N363" i="3"/>
  <c r="K363" i="3"/>
  <c r="G363" i="3"/>
  <c r="N362" i="3"/>
  <c r="G362" i="3" s="1"/>
  <c r="G361" i="3" s="1"/>
  <c r="K362" i="3"/>
  <c r="O361" i="3"/>
  <c r="M361" i="3"/>
  <c r="L361" i="3"/>
  <c r="I361" i="3"/>
  <c r="H361" i="3"/>
  <c r="N360" i="3"/>
  <c r="G360" i="3" s="1"/>
  <c r="K360" i="3"/>
  <c r="N359" i="3"/>
  <c r="K359" i="3"/>
  <c r="G359" i="3"/>
  <c r="N358" i="3"/>
  <c r="K358" i="3"/>
  <c r="G358" i="3"/>
  <c r="N357" i="3"/>
  <c r="G357" i="3" s="1"/>
  <c r="G356" i="3" s="1"/>
  <c r="K357" i="3"/>
  <c r="O356" i="3"/>
  <c r="N356" i="3"/>
  <c r="M356" i="3"/>
  <c r="L356" i="3"/>
  <c r="J356" i="3"/>
  <c r="K356" i="3" s="1"/>
  <c r="I356" i="3"/>
  <c r="H356" i="3"/>
  <c r="N355" i="3"/>
  <c r="G355" i="3" s="1"/>
  <c r="K355" i="3"/>
  <c r="N354" i="3"/>
  <c r="G354" i="3" s="1"/>
  <c r="K354" i="3"/>
  <c r="N353" i="3"/>
  <c r="K353" i="3"/>
  <c r="G353" i="3"/>
  <c r="G351" i="3" s="1"/>
  <c r="N352" i="3"/>
  <c r="K352" i="3"/>
  <c r="G352" i="3"/>
  <c r="O351" i="3"/>
  <c r="M351" i="3"/>
  <c r="L351" i="3"/>
  <c r="K351" i="3"/>
  <c r="J351" i="3"/>
  <c r="I351" i="3"/>
  <c r="H351" i="3"/>
  <c r="O350" i="3"/>
  <c r="M350" i="3"/>
  <c r="L350" i="3"/>
  <c r="L346" i="3" s="1"/>
  <c r="J350" i="3"/>
  <c r="I350" i="3"/>
  <c r="H350" i="3"/>
  <c r="O349" i="3"/>
  <c r="O249" i="3" s="1"/>
  <c r="M349" i="3"/>
  <c r="M346" i="3" s="1"/>
  <c r="L349" i="3"/>
  <c r="J349" i="3"/>
  <c r="I349" i="3"/>
  <c r="H349" i="3"/>
  <c r="O348" i="3"/>
  <c r="N348" i="3"/>
  <c r="M348" i="3"/>
  <c r="J348" i="3"/>
  <c r="J346" i="3" s="1"/>
  <c r="I348" i="3"/>
  <c r="H348" i="3"/>
  <c r="H248" i="3" s="1"/>
  <c r="O347" i="3"/>
  <c r="O346" i="3" s="1"/>
  <c r="M347" i="3"/>
  <c r="L347" i="3"/>
  <c r="K347" i="3"/>
  <c r="J347" i="3"/>
  <c r="I347" i="3"/>
  <c r="H347" i="3"/>
  <c r="I346" i="3"/>
  <c r="H346" i="3"/>
  <c r="N345" i="3"/>
  <c r="K345" i="3"/>
  <c r="G345" i="3"/>
  <c r="N344" i="3"/>
  <c r="K344" i="3"/>
  <c r="K329" i="3" s="1"/>
  <c r="G344" i="3"/>
  <c r="N343" i="3"/>
  <c r="G343" i="3" s="1"/>
  <c r="K343" i="3"/>
  <c r="N342" i="3"/>
  <c r="G342" i="3" s="1"/>
  <c r="G341" i="3" s="1"/>
  <c r="K342" i="3"/>
  <c r="O341" i="3"/>
  <c r="M341" i="3"/>
  <c r="N341" i="3" s="1"/>
  <c r="L341" i="3"/>
  <c r="I341" i="3"/>
  <c r="K341" i="3" s="1"/>
  <c r="H341" i="3"/>
  <c r="N340" i="3"/>
  <c r="G340" i="3" s="1"/>
  <c r="K340" i="3"/>
  <c r="K330" i="3" s="1"/>
  <c r="N339" i="3"/>
  <c r="K339" i="3"/>
  <c r="G339" i="3"/>
  <c r="N338" i="3"/>
  <c r="K338" i="3"/>
  <c r="G338" i="3"/>
  <c r="N337" i="3"/>
  <c r="G337" i="3" s="1"/>
  <c r="G336" i="3" s="1"/>
  <c r="K337" i="3"/>
  <c r="O336" i="3"/>
  <c r="M336" i="3"/>
  <c r="L336" i="3"/>
  <c r="J336" i="3"/>
  <c r="I336" i="3"/>
  <c r="N336" i="3" s="1"/>
  <c r="H336" i="3"/>
  <c r="N335" i="3"/>
  <c r="G335" i="3" s="1"/>
  <c r="K335" i="3"/>
  <c r="N334" i="3"/>
  <c r="K334" i="3"/>
  <c r="G334" i="3"/>
  <c r="G331" i="3" s="1"/>
  <c r="N333" i="3"/>
  <c r="K333" i="3"/>
  <c r="G333" i="3"/>
  <c r="N332" i="3"/>
  <c r="K332" i="3"/>
  <c r="G332" i="3"/>
  <c r="O331" i="3"/>
  <c r="N331" i="3"/>
  <c r="M331" i="3"/>
  <c r="L331" i="3"/>
  <c r="J331" i="3"/>
  <c r="K331" i="3" s="1"/>
  <c r="I331" i="3"/>
  <c r="H331" i="3"/>
  <c r="O330" i="3"/>
  <c r="M330" i="3"/>
  <c r="L330" i="3"/>
  <c r="J330" i="3"/>
  <c r="I330" i="3"/>
  <c r="N330" i="3" s="1"/>
  <c r="H330" i="3"/>
  <c r="G330" i="3"/>
  <c r="O329" i="3"/>
  <c r="M329" i="3"/>
  <c r="L329" i="3"/>
  <c r="L326" i="3" s="1"/>
  <c r="J329" i="3"/>
  <c r="I329" i="3"/>
  <c r="N329" i="3" s="1"/>
  <c r="H329" i="3"/>
  <c r="O328" i="3"/>
  <c r="M328" i="3"/>
  <c r="M326" i="3" s="1"/>
  <c r="L328" i="3"/>
  <c r="K328" i="3"/>
  <c r="J328" i="3"/>
  <c r="J248" i="3" s="1"/>
  <c r="I328" i="3"/>
  <c r="H328" i="3"/>
  <c r="O327" i="3"/>
  <c r="M327" i="3"/>
  <c r="L327" i="3"/>
  <c r="N327" i="3" s="1"/>
  <c r="G327" i="3" s="1"/>
  <c r="K327" i="3"/>
  <c r="J327" i="3"/>
  <c r="J326" i="3" s="1"/>
  <c r="I327" i="3"/>
  <c r="H327" i="3"/>
  <c r="O326" i="3"/>
  <c r="N325" i="3"/>
  <c r="K325" i="3"/>
  <c r="G325" i="3"/>
  <c r="N324" i="3"/>
  <c r="G324" i="3" s="1"/>
  <c r="K324" i="3"/>
  <c r="N323" i="3"/>
  <c r="G323" i="3" s="1"/>
  <c r="K323" i="3"/>
  <c r="N322" i="3"/>
  <c r="K322" i="3"/>
  <c r="G322" i="3"/>
  <c r="N321" i="3"/>
  <c r="K321" i="3"/>
  <c r="N320" i="3"/>
  <c r="K320" i="3"/>
  <c r="G320" i="3"/>
  <c r="N319" i="3"/>
  <c r="G319" i="3" s="1"/>
  <c r="G316" i="3" s="1"/>
  <c r="K319" i="3"/>
  <c r="N318" i="3"/>
  <c r="K318" i="3"/>
  <c r="G318" i="3"/>
  <c r="N317" i="3"/>
  <c r="K317" i="3"/>
  <c r="G317" i="3"/>
  <c r="O316" i="3"/>
  <c r="M316" i="3"/>
  <c r="L316" i="3"/>
  <c r="K316" i="3"/>
  <c r="I316" i="3"/>
  <c r="N316" i="3" s="1"/>
  <c r="H316" i="3"/>
  <c r="N315" i="3"/>
  <c r="G315" i="3" s="1"/>
  <c r="K315" i="3"/>
  <c r="N314" i="3"/>
  <c r="G314" i="3" s="1"/>
  <c r="K314" i="3"/>
  <c r="N313" i="3"/>
  <c r="G313" i="3" s="1"/>
  <c r="G311" i="3" s="1"/>
  <c r="K313" i="3"/>
  <c r="N312" i="3"/>
  <c r="K312" i="3"/>
  <c r="G312" i="3"/>
  <c r="O311" i="3"/>
  <c r="M311" i="3"/>
  <c r="L311" i="3"/>
  <c r="N311" i="3" s="1"/>
  <c r="K311" i="3"/>
  <c r="I311" i="3"/>
  <c r="H311" i="3"/>
  <c r="N310" i="3"/>
  <c r="K310" i="3"/>
  <c r="G310" i="3"/>
  <c r="N309" i="3"/>
  <c r="G309" i="3" s="1"/>
  <c r="G306" i="3" s="1"/>
  <c r="K309" i="3"/>
  <c r="N308" i="3"/>
  <c r="K308" i="3"/>
  <c r="G308" i="3"/>
  <c r="N307" i="3"/>
  <c r="K307" i="3"/>
  <c r="G307" i="3"/>
  <c r="O306" i="3"/>
  <c r="M306" i="3"/>
  <c r="L306" i="3"/>
  <c r="K306" i="3"/>
  <c r="I306" i="3"/>
  <c r="N306" i="3" s="1"/>
  <c r="H306" i="3"/>
  <c r="N305" i="3"/>
  <c r="G305" i="3" s="1"/>
  <c r="K305" i="3"/>
  <c r="N304" i="3"/>
  <c r="G304" i="3" s="1"/>
  <c r="K304" i="3"/>
  <c r="N303" i="3"/>
  <c r="K303" i="3"/>
  <c r="G303" i="3"/>
  <c r="N302" i="3"/>
  <c r="K302" i="3"/>
  <c r="G302" i="3"/>
  <c r="O301" i="3"/>
  <c r="M301" i="3"/>
  <c r="L301" i="3"/>
  <c r="K301" i="3"/>
  <c r="I301" i="3"/>
  <c r="H301" i="3"/>
  <c r="N300" i="3"/>
  <c r="K300" i="3"/>
  <c r="G300" i="3"/>
  <c r="N299" i="3"/>
  <c r="G299" i="3" s="1"/>
  <c r="K299" i="3"/>
  <c r="N298" i="3"/>
  <c r="K298" i="3"/>
  <c r="G298" i="3"/>
  <c r="N297" i="3"/>
  <c r="K297" i="3"/>
  <c r="G297" i="3"/>
  <c r="G296" i="3" s="1"/>
  <c r="O296" i="3"/>
  <c r="M296" i="3"/>
  <c r="L296" i="3"/>
  <c r="K296" i="3"/>
  <c r="I296" i="3"/>
  <c r="N296" i="3" s="1"/>
  <c r="H296" i="3"/>
  <c r="N295" i="3"/>
  <c r="G295" i="3" s="1"/>
  <c r="K295" i="3"/>
  <c r="N294" i="3"/>
  <c r="G294" i="3" s="1"/>
  <c r="K294" i="3"/>
  <c r="N293" i="3"/>
  <c r="K293" i="3"/>
  <c r="G293" i="3"/>
  <c r="N292" i="3"/>
  <c r="K292" i="3"/>
  <c r="G292" i="3"/>
  <c r="O291" i="3"/>
  <c r="M291" i="3"/>
  <c r="L291" i="3"/>
  <c r="K291" i="3"/>
  <c r="I291" i="3"/>
  <c r="N291" i="3" s="1"/>
  <c r="H291" i="3"/>
  <c r="N290" i="3"/>
  <c r="G290" i="3" s="1"/>
  <c r="K290" i="3"/>
  <c r="N289" i="3"/>
  <c r="G289" i="3" s="1"/>
  <c r="K289" i="3"/>
  <c r="N288" i="3"/>
  <c r="K288" i="3"/>
  <c r="G288" i="3"/>
  <c r="N287" i="3"/>
  <c r="K287" i="3"/>
  <c r="G287" i="3"/>
  <c r="O286" i="3"/>
  <c r="M286" i="3"/>
  <c r="L286" i="3"/>
  <c r="K286" i="3"/>
  <c r="I286" i="3"/>
  <c r="N286" i="3" s="1"/>
  <c r="H286" i="3"/>
  <c r="N285" i="3"/>
  <c r="G285" i="3" s="1"/>
  <c r="K285" i="3"/>
  <c r="N284" i="3"/>
  <c r="G284" i="3" s="1"/>
  <c r="K284" i="3"/>
  <c r="N283" i="3"/>
  <c r="K283" i="3"/>
  <c r="G283" i="3"/>
  <c r="G281" i="3" s="1"/>
  <c r="N282" i="3"/>
  <c r="K282" i="3"/>
  <c r="G282" i="3"/>
  <c r="O281" i="3"/>
  <c r="M281" i="3"/>
  <c r="L281" i="3"/>
  <c r="K281" i="3"/>
  <c r="J281" i="3"/>
  <c r="I281" i="3"/>
  <c r="H281" i="3"/>
  <c r="N280" i="3"/>
  <c r="K280" i="3"/>
  <c r="K255" i="3" s="1"/>
  <c r="G280" i="3"/>
  <c r="N279" i="3"/>
  <c r="G279" i="3" s="1"/>
  <c r="K279" i="3"/>
  <c r="N278" i="3"/>
  <c r="G278" i="3" s="1"/>
  <c r="K278" i="3"/>
  <c r="N277" i="3"/>
  <c r="K277" i="3"/>
  <c r="G277" i="3"/>
  <c r="O276" i="3"/>
  <c r="M276" i="3"/>
  <c r="L276" i="3"/>
  <c r="I276" i="3"/>
  <c r="H276" i="3"/>
  <c r="N275" i="3"/>
  <c r="K275" i="3"/>
  <c r="G275" i="3"/>
  <c r="N274" i="3"/>
  <c r="K274" i="3"/>
  <c r="N273" i="3"/>
  <c r="G273" i="3" s="1"/>
  <c r="K273" i="3"/>
  <c r="N272" i="3"/>
  <c r="K272" i="3"/>
  <c r="G272" i="3"/>
  <c r="O271" i="3"/>
  <c r="N271" i="3"/>
  <c r="M271" i="3"/>
  <c r="L271" i="3"/>
  <c r="I271" i="3"/>
  <c r="K271" i="3" s="1"/>
  <c r="H271" i="3"/>
  <c r="N270" i="3"/>
  <c r="K270" i="3"/>
  <c r="G270" i="3"/>
  <c r="N269" i="3"/>
  <c r="G269" i="3" s="1"/>
  <c r="K269" i="3"/>
  <c r="N268" i="3"/>
  <c r="G268" i="3" s="1"/>
  <c r="K268" i="3"/>
  <c r="N267" i="3"/>
  <c r="K267" i="3"/>
  <c r="G267" i="3"/>
  <c r="O266" i="3"/>
  <c r="M266" i="3"/>
  <c r="L266" i="3"/>
  <c r="J266" i="3"/>
  <c r="I266" i="3"/>
  <c r="H266" i="3"/>
  <c r="N265" i="3"/>
  <c r="K265" i="3"/>
  <c r="G265" i="3"/>
  <c r="N264" i="3"/>
  <c r="J264" i="3"/>
  <c r="J254" i="3" s="1"/>
  <c r="J249" i="3" s="1"/>
  <c r="G264" i="3"/>
  <c r="N263" i="3"/>
  <c r="K263" i="3"/>
  <c r="G263" i="3"/>
  <c r="N262" i="3"/>
  <c r="K262" i="3"/>
  <c r="O261" i="3"/>
  <c r="N261" i="3"/>
  <c r="M261" i="3"/>
  <c r="L261" i="3"/>
  <c r="J261" i="3"/>
  <c r="K261" i="3" s="1"/>
  <c r="I261" i="3"/>
  <c r="H261" i="3"/>
  <c r="N260" i="3"/>
  <c r="K260" i="3"/>
  <c r="N259" i="3"/>
  <c r="G259" i="3" s="1"/>
  <c r="K259" i="3"/>
  <c r="N258" i="3"/>
  <c r="K258" i="3"/>
  <c r="K253" i="3" s="1"/>
  <c r="N257" i="3"/>
  <c r="K257" i="3"/>
  <c r="G257" i="3"/>
  <c r="O256" i="3"/>
  <c r="M256" i="3"/>
  <c r="L256" i="3"/>
  <c r="K256" i="3"/>
  <c r="I256" i="3"/>
  <c r="H256" i="3"/>
  <c r="O255" i="3"/>
  <c r="O250" i="3" s="1"/>
  <c r="M255" i="3"/>
  <c r="L255" i="3"/>
  <c r="J255" i="3"/>
  <c r="I255" i="3"/>
  <c r="H255" i="3"/>
  <c r="O254" i="3"/>
  <c r="M254" i="3"/>
  <c r="L254" i="3"/>
  <c r="I254" i="3"/>
  <c r="H254" i="3"/>
  <c r="O253" i="3"/>
  <c r="O248" i="3" s="1"/>
  <c r="M253" i="3"/>
  <c r="L253" i="3"/>
  <c r="J253" i="3"/>
  <c r="I253" i="3"/>
  <c r="H253" i="3"/>
  <c r="O252" i="3"/>
  <c r="M252" i="3"/>
  <c r="L252" i="3"/>
  <c r="J252" i="3"/>
  <c r="I252" i="3"/>
  <c r="H252" i="3"/>
  <c r="L250" i="3"/>
  <c r="J250" i="3"/>
  <c r="I250" i="3"/>
  <c r="H250" i="3"/>
  <c r="I249" i="3"/>
  <c r="L248" i="3"/>
  <c r="O247" i="3"/>
  <c r="M247" i="3"/>
  <c r="L247" i="3"/>
  <c r="O246" i="3"/>
  <c r="N245" i="3"/>
  <c r="G245" i="3" s="1"/>
  <c r="K245" i="3"/>
  <c r="N244" i="3"/>
  <c r="K244" i="3"/>
  <c r="J244" i="3"/>
  <c r="G244" i="3"/>
  <c r="N243" i="3"/>
  <c r="G243" i="3" s="1"/>
  <c r="K243" i="3"/>
  <c r="N242" i="3"/>
  <c r="K242" i="3"/>
  <c r="G242" i="3"/>
  <c r="O241" i="3"/>
  <c r="M241" i="3"/>
  <c r="L241" i="3"/>
  <c r="N241" i="3" s="1"/>
  <c r="J241" i="3"/>
  <c r="I241" i="3"/>
  <c r="K241" i="3" s="1"/>
  <c r="H241" i="3"/>
  <c r="N240" i="3"/>
  <c r="G240" i="3" s="1"/>
  <c r="K240" i="3"/>
  <c r="K210" i="3" s="1"/>
  <c r="N239" i="3"/>
  <c r="K239" i="3"/>
  <c r="G239" i="3"/>
  <c r="N238" i="3"/>
  <c r="G238" i="3" s="1"/>
  <c r="K238" i="3"/>
  <c r="N237" i="3"/>
  <c r="G237" i="3" s="1"/>
  <c r="G236" i="3" s="1"/>
  <c r="K237" i="3"/>
  <c r="M236" i="3"/>
  <c r="L236" i="3"/>
  <c r="I236" i="3"/>
  <c r="H236" i="3"/>
  <c r="N235" i="3"/>
  <c r="K235" i="3"/>
  <c r="G235" i="3"/>
  <c r="N234" i="3"/>
  <c r="G234" i="3" s="1"/>
  <c r="K234" i="3"/>
  <c r="N233" i="3"/>
  <c r="G233" i="3" s="1"/>
  <c r="K233" i="3"/>
  <c r="N232" i="3"/>
  <c r="K232" i="3"/>
  <c r="G232" i="3"/>
  <c r="O231" i="3"/>
  <c r="M231" i="3"/>
  <c r="L231" i="3"/>
  <c r="N231" i="3" s="1"/>
  <c r="J231" i="3"/>
  <c r="I231" i="3"/>
  <c r="K231" i="3" s="1"/>
  <c r="H231" i="3"/>
  <c r="N230" i="3"/>
  <c r="K230" i="3"/>
  <c r="G230" i="3"/>
  <c r="I229" i="3"/>
  <c r="N229" i="3" s="1"/>
  <c r="G229" i="3"/>
  <c r="N228" i="3"/>
  <c r="G228" i="3"/>
  <c r="N227" i="3"/>
  <c r="G227" i="3" s="1"/>
  <c r="K227" i="3"/>
  <c r="O226" i="3"/>
  <c r="M226" i="3"/>
  <c r="L226" i="3"/>
  <c r="J226" i="3"/>
  <c r="I226" i="3"/>
  <c r="H226" i="3"/>
  <c r="N225" i="3"/>
  <c r="G225" i="3" s="1"/>
  <c r="K225" i="3"/>
  <c r="M224" i="3"/>
  <c r="M221" i="3" s="1"/>
  <c r="L224" i="3"/>
  <c r="I224" i="3"/>
  <c r="K224" i="3" s="1"/>
  <c r="N223" i="3"/>
  <c r="G223" i="3" s="1"/>
  <c r="K223" i="3"/>
  <c r="N222" i="3"/>
  <c r="G222" i="3" s="1"/>
  <c r="K222" i="3"/>
  <c r="K207" i="3" s="1"/>
  <c r="J221" i="3"/>
  <c r="I221" i="3"/>
  <c r="H221" i="3"/>
  <c r="N220" i="3"/>
  <c r="K220" i="3"/>
  <c r="G220" i="3"/>
  <c r="K219" i="3"/>
  <c r="I219" i="3"/>
  <c r="N218" i="3"/>
  <c r="K218" i="3"/>
  <c r="G218" i="3"/>
  <c r="N217" i="3"/>
  <c r="K217" i="3"/>
  <c r="G217" i="3"/>
  <c r="O216" i="3"/>
  <c r="M216" i="3"/>
  <c r="L216" i="3"/>
  <c r="J216" i="3"/>
  <c r="H216" i="3"/>
  <c r="N215" i="3"/>
  <c r="G215" i="3" s="1"/>
  <c r="K215" i="3"/>
  <c r="N214" i="3"/>
  <c r="G214" i="3" s="1"/>
  <c r="K214" i="3"/>
  <c r="N213" i="3"/>
  <c r="G213" i="3" s="1"/>
  <c r="G211" i="3" s="1"/>
  <c r="K213" i="3"/>
  <c r="N212" i="3"/>
  <c r="K212" i="3"/>
  <c r="G212" i="3"/>
  <c r="O211" i="3"/>
  <c r="M211" i="3"/>
  <c r="L211" i="3"/>
  <c r="N211" i="3" s="1"/>
  <c r="K211" i="3"/>
  <c r="I211" i="3"/>
  <c r="H211" i="3"/>
  <c r="O210" i="3"/>
  <c r="M210" i="3"/>
  <c r="L210" i="3"/>
  <c r="J210" i="3"/>
  <c r="I210" i="3"/>
  <c r="N210" i="3" s="1"/>
  <c r="H210" i="3"/>
  <c r="G210" i="3"/>
  <c r="O209" i="3"/>
  <c r="M209" i="3"/>
  <c r="J209" i="3"/>
  <c r="H209" i="3"/>
  <c r="O208" i="3"/>
  <c r="N208" i="3"/>
  <c r="G208" i="3" s="1"/>
  <c r="M208" i="3"/>
  <c r="L208" i="3"/>
  <c r="J208" i="3"/>
  <c r="I208" i="3"/>
  <c r="H208" i="3"/>
  <c r="O207" i="3"/>
  <c r="N207" i="3"/>
  <c r="G207" i="3" s="1"/>
  <c r="M207" i="3"/>
  <c r="L207" i="3"/>
  <c r="J207" i="3"/>
  <c r="I207" i="3"/>
  <c r="H207" i="3"/>
  <c r="M206" i="3"/>
  <c r="J206" i="3"/>
  <c r="M205" i="3"/>
  <c r="L205" i="3"/>
  <c r="K205" i="3"/>
  <c r="N204" i="3"/>
  <c r="G204" i="3" s="1"/>
  <c r="K204" i="3"/>
  <c r="N203" i="3"/>
  <c r="G203" i="3" s="1"/>
  <c r="K203" i="3"/>
  <c r="N202" i="3"/>
  <c r="G202" i="3" s="1"/>
  <c r="K202" i="3"/>
  <c r="K187" i="3" s="1"/>
  <c r="O201" i="3"/>
  <c r="L201" i="3"/>
  <c r="I201" i="3"/>
  <c r="H201" i="3"/>
  <c r="N200" i="3"/>
  <c r="J200" i="3"/>
  <c r="G200" i="3"/>
  <c r="N199" i="3"/>
  <c r="K199" i="3"/>
  <c r="J199" i="3"/>
  <c r="J189" i="3" s="1"/>
  <c r="G199" i="3"/>
  <c r="N198" i="3"/>
  <c r="J198" i="3"/>
  <c r="G198" i="3"/>
  <c r="N197" i="3"/>
  <c r="K197" i="3"/>
  <c r="J197" i="3"/>
  <c r="G197" i="3"/>
  <c r="O196" i="3"/>
  <c r="M196" i="3"/>
  <c r="L196" i="3"/>
  <c r="J196" i="3"/>
  <c r="I196" i="3"/>
  <c r="H196" i="3"/>
  <c r="N195" i="3"/>
  <c r="K195" i="3"/>
  <c r="G195" i="3"/>
  <c r="N194" i="3"/>
  <c r="K194" i="3"/>
  <c r="K189" i="3" s="1"/>
  <c r="G194" i="3"/>
  <c r="N193" i="3"/>
  <c r="G193" i="3" s="1"/>
  <c r="K193" i="3"/>
  <c r="N192" i="3"/>
  <c r="G192" i="3" s="1"/>
  <c r="K192" i="3"/>
  <c r="O191" i="3"/>
  <c r="M191" i="3"/>
  <c r="N191" i="3" s="1"/>
  <c r="L191" i="3"/>
  <c r="J191" i="3"/>
  <c r="I191" i="3"/>
  <c r="K191" i="3" s="1"/>
  <c r="H191" i="3"/>
  <c r="O190" i="3"/>
  <c r="L190" i="3"/>
  <c r="I190" i="3"/>
  <c r="H190" i="3"/>
  <c r="O189" i="3"/>
  <c r="M189" i="3"/>
  <c r="L189" i="3"/>
  <c r="I189" i="3"/>
  <c r="H189" i="3"/>
  <c r="O188" i="3"/>
  <c r="M188" i="3"/>
  <c r="L188" i="3"/>
  <c r="I188" i="3"/>
  <c r="N188" i="3" s="1"/>
  <c r="H188" i="3"/>
  <c r="O187" i="3"/>
  <c r="M187" i="3"/>
  <c r="L187" i="3"/>
  <c r="J187" i="3"/>
  <c r="I187" i="3"/>
  <c r="H187" i="3"/>
  <c r="L186" i="3"/>
  <c r="N185" i="3"/>
  <c r="K185" i="3"/>
  <c r="G185" i="3"/>
  <c r="K184" i="3"/>
  <c r="M183" i="3"/>
  <c r="M23" i="3" s="1"/>
  <c r="AH23" i="3" s="1"/>
  <c r="L183" i="3"/>
  <c r="K183" i="3"/>
  <c r="N182" i="3"/>
  <c r="K182" i="3"/>
  <c r="G182" i="3"/>
  <c r="O181" i="3"/>
  <c r="I181" i="3"/>
  <c r="K181" i="3" s="1"/>
  <c r="H181" i="3"/>
  <c r="N180" i="3"/>
  <c r="K180" i="3"/>
  <c r="G180" i="3"/>
  <c r="N179" i="3"/>
  <c r="G179" i="3" s="1"/>
  <c r="K179" i="3"/>
  <c r="M178" i="3"/>
  <c r="L178" i="3"/>
  <c r="K178" i="3"/>
  <c r="N177" i="3"/>
  <c r="G177" i="3" s="1"/>
  <c r="K177" i="3"/>
  <c r="O176" i="3"/>
  <c r="L176" i="3"/>
  <c r="K176" i="3"/>
  <c r="I176" i="3"/>
  <c r="H176" i="3"/>
  <c r="N175" i="3"/>
  <c r="G175" i="3" s="1"/>
  <c r="K175" i="3"/>
  <c r="N174" i="3"/>
  <c r="G174" i="3" s="1"/>
  <c r="J174" i="3"/>
  <c r="N173" i="3"/>
  <c r="K173" i="3"/>
  <c r="G173" i="3"/>
  <c r="N172" i="3"/>
  <c r="K172" i="3"/>
  <c r="G172" i="3"/>
  <c r="G22" i="3" s="1"/>
  <c r="O171" i="3"/>
  <c r="M171" i="3"/>
  <c r="L171" i="3"/>
  <c r="I171" i="3"/>
  <c r="H171" i="3"/>
  <c r="N170" i="3"/>
  <c r="K170" i="3"/>
  <c r="G170" i="3"/>
  <c r="M169" i="3"/>
  <c r="L169" i="3"/>
  <c r="K169" i="3"/>
  <c r="N168" i="3"/>
  <c r="K168" i="3"/>
  <c r="G168" i="3"/>
  <c r="N167" i="3"/>
  <c r="K167" i="3"/>
  <c r="G167" i="3"/>
  <c r="O166" i="3"/>
  <c r="M166" i="3"/>
  <c r="I166" i="3"/>
  <c r="K166" i="3" s="1"/>
  <c r="H166" i="3"/>
  <c r="N165" i="3"/>
  <c r="G165" i="3" s="1"/>
  <c r="K165" i="3"/>
  <c r="N164" i="3"/>
  <c r="K164" i="3"/>
  <c r="J164" i="3"/>
  <c r="I164" i="3"/>
  <c r="G164" i="3"/>
  <c r="N163" i="3"/>
  <c r="G163" i="3" s="1"/>
  <c r="K163" i="3"/>
  <c r="J163" i="3"/>
  <c r="N162" i="3"/>
  <c r="G162" i="3" s="1"/>
  <c r="G161" i="3" s="1"/>
  <c r="K162" i="3"/>
  <c r="O161" i="3"/>
  <c r="M161" i="3"/>
  <c r="L161" i="3"/>
  <c r="J161" i="3"/>
  <c r="I161" i="3"/>
  <c r="K161" i="3" s="1"/>
  <c r="H161" i="3"/>
  <c r="N160" i="3"/>
  <c r="G160" i="3" s="1"/>
  <c r="K160" i="3"/>
  <c r="N159" i="3"/>
  <c r="K159" i="3"/>
  <c r="G159" i="3"/>
  <c r="N158" i="3"/>
  <c r="K158" i="3"/>
  <c r="G158" i="3"/>
  <c r="N157" i="3"/>
  <c r="G157" i="3" s="1"/>
  <c r="K157" i="3"/>
  <c r="O156" i="3"/>
  <c r="M156" i="3"/>
  <c r="L156" i="3"/>
  <c r="I156" i="3"/>
  <c r="H156" i="3"/>
  <c r="N155" i="3"/>
  <c r="G155" i="3" s="1"/>
  <c r="K155" i="3"/>
  <c r="N154" i="3"/>
  <c r="K154" i="3"/>
  <c r="G154" i="3"/>
  <c r="N153" i="3"/>
  <c r="K153" i="3"/>
  <c r="G153" i="3"/>
  <c r="N152" i="3"/>
  <c r="G152" i="3" s="1"/>
  <c r="G151" i="3" s="1"/>
  <c r="K152" i="3"/>
  <c r="O151" i="3"/>
  <c r="M151" i="3"/>
  <c r="L151" i="3"/>
  <c r="N151" i="3" s="1"/>
  <c r="J151" i="3"/>
  <c r="K151" i="3" s="1"/>
  <c r="I151" i="3"/>
  <c r="H151" i="3"/>
  <c r="N150" i="3"/>
  <c r="K150" i="3"/>
  <c r="G150" i="3"/>
  <c r="N149" i="3"/>
  <c r="G149" i="3" s="1"/>
  <c r="K149" i="3"/>
  <c r="N148" i="3"/>
  <c r="K148" i="3"/>
  <c r="G148" i="3"/>
  <c r="N147" i="3"/>
  <c r="K147" i="3"/>
  <c r="G147" i="3"/>
  <c r="G146" i="3" s="1"/>
  <c r="O146" i="3"/>
  <c r="M146" i="3"/>
  <c r="L146" i="3"/>
  <c r="K146" i="3"/>
  <c r="I146" i="3"/>
  <c r="H146" i="3"/>
  <c r="N145" i="3"/>
  <c r="K145" i="3"/>
  <c r="G145" i="3"/>
  <c r="G141" i="3" s="1"/>
  <c r="N144" i="3"/>
  <c r="G144" i="3" s="1"/>
  <c r="N143" i="3"/>
  <c r="J143" i="3"/>
  <c r="K143" i="3" s="1"/>
  <c r="G143" i="3"/>
  <c r="N142" i="3"/>
  <c r="K142" i="3"/>
  <c r="K122" i="3" s="1"/>
  <c r="G142" i="3"/>
  <c r="O141" i="3"/>
  <c r="M141" i="3"/>
  <c r="L141" i="3"/>
  <c r="J141" i="3"/>
  <c r="I141" i="3"/>
  <c r="N141" i="3" s="1"/>
  <c r="H141" i="3"/>
  <c r="N140" i="3"/>
  <c r="K140" i="3"/>
  <c r="G140" i="3"/>
  <c r="N139" i="3"/>
  <c r="G139" i="3" s="1"/>
  <c r="K139" i="3"/>
  <c r="J139" i="3"/>
  <c r="N138" i="3"/>
  <c r="G138" i="3" s="1"/>
  <c r="K138" i="3"/>
  <c r="N137" i="3"/>
  <c r="K137" i="3"/>
  <c r="G137" i="3"/>
  <c r="O136" i="3"/>
  <c r="M136" i="3"/>
  <c r="L136" i="3"/>
  <c r="N136" i="3" s="1"/>
  <c r="J136" i="3"/>
  <c r="I136" i="3"/>
  <c r="H136" i="3"/>
  <c r="N135" i="3"/>
  <c r="K135" i="3"/>
  <c r="G135" i="3"/>
  <c r="G131" i="3" s="1"/>
  <c r="N134" i="3"/>
  <c r="K134" i="3"/>
  <c r="G134" i="3"/>
  <c r="N133" i="3"/>
  <c r="J133" i="3"/>
  <c r="G133" i="3"/>
  <c r="N132" i="3"/>
  <c r="G132" i="3" s="1"/>
  <c r="K132" i="3"/>
  <c r="O131" i="3"/>
  <c r="M131" i="3"/>
  <c r="L131" i="3"/>
  <c r="N131" i="3" s="1"/>
  <c r="K131" i="3"/>
  <c r="J131" i="3"/>
  <c r="I131" i="3"/>
  <c r="H131" i="3"/>
  <c r="N130" i="3"/>
  <c r="K130" i="3"/>
  <c r="G130" i="3"/>
  <c r="N129" i="3"/>
  <c r="G129" i="3" s="1"/>
  <c r="K129" i="3"/>
  <c r="N128" i="3"/>
  <c r="K128" i="3"/>
  <c r="G128" i="3"/>
  <c r="N127" i="3"/>
  <c r="K127" i="3"/>
  <c r="G127" i="3"/>
  <c r="G126" i="3" s="1"/>
  <c r="O126" i="3"/>
  <c r="M126" i="3"/>
  <c r="L126" i="3"/>
  <c r="J126" i="3"/>
  <c r="I126" i="3"/>
  <c r="H126" i="3"/>
  <c r="O125" i="3"/>
  <c r="N125" i="3"/>
  <c r="M125" i="3"/>
  <c r="L125" i="3"/>
  <c r="J125" i="3"/>
  <c r="I125" i="3"/>
  <c r="H125" i="3"/>
  <c r="O124" i="3"/>
  <c r="I124" i="3"/>
  <c r="H124" i="3"/>
  <c r="O123" i="3"/>
  <c r="O121" i="3" s="1"/>
  <c r="L123" i="3"/>
  <c r="I123" i="3"/>
  <c r="H123" i="3"/>
  <c r="O122" i="3"/>
  <c r="M122" i="3"/>
  <c r="L122" i="3"/>
  <c r="J122" i="3"/>
  <c r="I122" i="3"/>
  <c r="H122" i="3"/>
  <c r="H121" i="3"/>
  <c r="N120" i="3"/>
  <c r="G120" i="3" s="1"/>
  <c r="K120" i="3"/>
  <c r="N119" i="3"/>
  <c r="G119" i="3" s="1"/>
  <c r="K119" i="3"/>
  <c r="N118" i="3"/>
  <c r="G118" i="3" s="1"/>
  <c r="K118" i="3"/>
  <c r="N117" i="3"/>
  <c r="K117" i="3"/>
  <c r="G117" i="3"/>
  <c r="G116" i="3" s="1"/>
  <c r="O116" i="3"/>
  <c r="M116" i="3"/>
  <c r="L116" i="3"/>
  <c r="K116" i="3"/>
  <c r="I116" i="3"/>
  <c r="H116" i="3"/>
  <c r="N115" i="3"/>
  <c r="G115" i="3" s="1"/>
  <c r="G111" i="3" s="1"/>
  <c r="K115" i="3"/>
  <c r="N114" i="3"/>
  <c r="G114" i="3" s="1"/>
  <c r="K114" i="3"/>
  <c r="N113" i="3"/>
  <c r="K113" i="3"/>
  <c r="G113" i="3"/>
  <c r="N112" i="3"/>
  <c r="K112" i="3"/>
  <c r="G112" i="3"/>
  <c r="O111" i="3"/>
  <c r="M111" i="3"/>
  <c r="L111" i="3"/>
  <c r="K111" i="3"/>
  <c r="I111" i="3"/>
  <c r="H111" i="3"/>
  <c r="N110" i="3"/>
  <c r="K110" i="3"/>
  <c r="G110" i="3"/>
  <c r="N109" i="3"/>
  <c r="G109" i="3" s="1"/>
  <c r="K109" i="3"/>
  <c r="N108" i="3"/>
  <c r="K108" i="3"/>
  <c r="G108" i="3"/>
  <c r="N107" i="3"/>
  <c r="K107" i="3"/>
  <c r="G107" i="3"/>
  <c r="O106" i="3"/>
  <c r="M106" i="3"/>
  <c r="L106" i="3"/>
  <c r="N106" i="3" s="1"/>
  <c r="K106" i="3"/>
  <c r="H106" i="3"/>
  <c r="N105" i="3"/>
  <c r="G105" i="3" s="1"/>
  <c r="K105" i="3"/>
  <c r="N104" i="3"/>
  <c r="K104" i="3"/>
  <c r="G104" i="3"/>
  <c r="G101" i="3" s="1"/>
  <c r="N103" i="3"/>
  <c r="K103" i="3"/>
  <c r="G103" i="3"/>
  <c r="N102" i="3"/>
  <c r="G102" i="3" s="1"/>
  <c r="K102" i="3"/>
  <c r="O101" i="3"/>
  <c r="M101" i="3"/>
  <c r="L101" i="3"/>
  <c r="N101" i="3" s="1"/>
  <c r="J101" i="3"/>
  <c r="K101" i="3" s="1"/>
  <c r="I101" i="3"/>
  <c r="H101" i="3"/>
  <c r="N100" i="3"/>
  <c r="K100" i="3"/>
  <c r="G100" i="3"/>
  <c r="N99" i="3"/>
  <c r="G99" i="3" s="1"/>
  <c r="K99" i="3"/>
  <c r="N98" i="3"/>
  <c r="K98" i="3"/>
  <c r="G98" i="3"/>
  <c r="N97" i="3"/>
  <c r="K97" i="3"/>
  <c r="G97" i="3"/>
  <c r="G96" i="3" s="1"/>
  <c r="O96" i="3"/>
  <c r="M96" i="3"/>
  <c r="L96" i="3"/>
  <c r="J96" i="3"/>
  <c r="I96" i="3"/>
  <c r="H96" i="3"/>
  <c r="N95" i="3"/>
  <c r="K95" i="3"/>
  <c r="G95" i="3"/>
  <c r="N94" i="3"/>
  <c r="K94" i="3"/>
  <c r="G94" i="3"/>
  <c r="N93" i="3"/>
  <c r="G93" i="3" s="1"/>
  <c r="K93" i="3"/>
  <c r="N92" i="3"/>
  <c r="K92" i="3"/>
  <c r="G92" i="3"/>
  <c r="O91" i="3"/>
  <c r="M91" i="3"/>
  <c r="L91" i="3"/>
  <c r="I91" i="3"/>
  <c r="K91" i="3" s="1"/>
  <c r="H91" i="3"/>
  <c r="G91" i="3"/>
  <c r="N90" i="3"/>
  <c r="K90" i="3"/>
  <c r="G90" i="3"/>
  <c r="N89" i="3"/>
  <c r="K89" i="3"/>
  <c r="G89" i="3"/>
  <c r="N88" i="3"/>
  <c r="G88" i="3" s="1"/>
  <c r="K88" i="3"/>
  <c r="N87" i="3"/>
  <c r="K87" i="3"/>
  <c r="G87" i="3"/>
  <c r="O86" i="3"/>
  <c r="M86" i="3"/>
  <c r="L86" i="3"/>
  <c r="I86" i="3"/>
  <c r="K86" i="3" s="1"/>
  <c r="H86" i="3"/>
  <c r="N85" i="3"/>
  <c r="K85" i="3"/>
  <c r="G85" i="3"/>
  <c r="N84" i="3"/>
  <c r="K84" i="3"/>
  <c r="G84" i="3"/>
  <c r="N83" i="3"/>
  <c r="G83" i="3" s="1"/>
  <c r="K83" i="3"/>
  <c r="N82" i="3"/>
  <c r="G82" i="3" s="1"/>
  <c r="K82" i="3"/>
  <c r="O81" i="3"/>
  <c r="M81" i="3"/>
  <c r="L81" i="3"/>
  <c r="N81" i="3" s="1"/>
  <c r="I81" i="3"/>
  <c r="K81" i="3" s="1"/>
  <c r="H81" i="3"/>
  <c r="G81" i="3"/>
  <c r="N80" i="3"/>
  <c r="K80" i="3"/>
  <c r="G80" i="3"/>
  <c r="N79" i="3"/>
  <c r="G79" i="3" s="1"/>
  <c r="K79" i="3"/>
  <c r="N78" i="3"/>
  <c r="G78" i="3" s="1"/>
  <c r="K78" i="3"/>
  <c r="N77" i="3"/>
  <c r="G77" i="3" s="1"/>
  <c r="G76" i="3" s="1"/>
  <c r="K77" i="3"/>
  <c r="O76" i="3"/>
  <c r="M76" i="3"/>
  <c r="L76" i="3"/>
  <c r="J76" i="3"/>
  <c r="I76" i="3"/>
  <c r="N76" i="3" s="1"/>
  <c r="H76" i="3"/>
  <c r="N75" i="3"/>
  <c r="K75" i="3"/>
  <c r="G75" i="3"/>
  <c r="N74" i="3"/>
  <c r="K74" i="3"/>
  <c r="G74" i="3"/>
  <c r="N73" i="3"/>
  <c r="K73" i="3"/>
  <c r="G73" i="3"/>
  <c r="N72" i="3"/>
  <c r="K72" i="3"/>
  <c r="G72" i="3"/>
  <c r="G71" i="3" s="1"/>
  <c r="O71" i="3"/>
  <c r="N71" i="3"/>
  <c r="M71" i="3"/>
  <c r="L71" i="3"/>
  <c r="J71" i="3"/>
  <c r="I71" i="3"/>
  <c r="K71" i="3" s="1"/>
  <c r="H71" i="3"/>
  <c r="N70" i="3"/>
  <c r="K70" i="3"/>
  <c r="G70" i="3"/>
  <c r="J69" i="3"/>
  <c r="J29" i="3" s="1"/>
  <c r="J26" i="3" s="1"/>
  <c r="I69" i="3"/>
  <c r="H69" i="3"/>
  <c r="N68" i="3"/>
  <c r="K68" i="3"/>
  <c r="G68" i="3"/>
  <c r="N67" i="3"/>
  <c r="K67" i="3"/>
  <c r="G67" i="3"/>
  <c r="O66" i="3"/>
  <c r="M66" i="3"/>
  <c r="L66" i="3"/>
  <c r="I66" i="3"/>
  <c r="H66" i="3"/>
  <c r="N65" i="3"/>
  <c r="K65" i="3"/>
  <c r="G65" i="3"/>
  <c r="N64" i="3"/>
  <c r="K64" i="3"/>
  <c r="G64" i="3"/>
  <c r="N63" i="3"/>
  <c r="G63" i="3" s="1"/>
  <c r="G61" i="3" s="1"/>
  <c r="K63" i="3"/>
  <c r="N62" i="3"/>
  <c r="K62" i="3"/>
  <c r="G62" i="3"/>
  <c r="M61" i="3"/>
  <c r="L61" i="3"/>
  <c r="K61" i="3"/>
  <c r="I61" i="3"/>
  <c r="H61" i="3"/>
  <c r="N60" i="3"/>
  <c r="K60" i="3"/>
  <c r="G60" i="3"/>
  <c r="N59" i="3"/>
  <c r="G59" i="3" s="1"/>
  <c r="K59" i="3"/>
  <c r="N58" i="3"/>
  <c r="K58" i="3"/>
  <c r="G58" i="3"/>
  <c r="N57" i="3"/>
  <c r="K57" i="3"/>
  <c r="G57" i="3"/>
  <c r="G56" i="3" s="1"/>
  <c r="O56" i="3"/>
  <c r="N56" i="3"/>
  <c r="M56" i="3"/>
  <c r="L56" i="3"/>
  <c r="K56" i="3"/>
  <c r="I56" i="3"/>
  <c r="H56" i="3"/>
  <c r="N55" i="3"/>
  <c r="G55" i="3" s="1"/>
  <c r="K55" i="3"/>
  <c r="J54" i="3"/>
  <c r="I54" i="3"/>
  <c r="I29" i="3" s="1"/>
  <c r="N29" i="3" s="1"/>
  <c r="H54" i="3"/>
  <c r="H19" i="3" s="1"/>
  <c r="H13" i="3" s="1"/>
  <c r="AC13" i="3" s="1"/>
  <c r="N53" i="3"/>
  <c r="G53" i="3" s="1"/>
  <c r="K53" i="3"/>
  <c r="N52" i="3"/>
  <c r="K52" i="3"/>
  <c r="G52" i="3"/>
  <c r="O51" i="3"/>
  <c r="M51" i="3"/>
  <c r="L51" i="3"/>
  <c r="J51" i="3"/>
  <c r="N50" i="3"/>
  <c r="G50" i="3" s="1"/>
  <c r="K50" i="3"/>
  <c r="N49" i="3"/>
  <c r="G49" i="3" s="1"/>
  <c r="K49" i="3"/>
  <c r="N48" i="3"/>
  <c r="G48" i="3" s="1"/>
  <c r="K48" i="3"/>
  <c r="N47" i="3"/>
  <c r="K47" i="3"/>
  <c r="G47" i="3"/>
  <c r="G46" i="3" s="1"/>
  <c r="O46" i="3"/>
  <c r="M46" i="3"/>
  <c r="L46" i="3"/>
  <c r="K46" i="3"/>
  <c r="I46" i="3"/>
  <c r="H46" i="3"/>
  <c r="N45" i="3"/>
  <c r="K45" i="3"/>
  <c r="G45" i="3"/>
  <c r="N44" i="3"/>
  <c r="G44" i="3" s="1"/>
  <c r="G41" i="3" s="1"/>
  <c r="K44" i="3"/>
  <c r="N43" i="3"/>
  <c r="K43" i="3"/>
  <c r="G43" i="3"/>
  <c r="N42" i="3"/>
  <c r="K42" i="3"/>
  <c r="G42" i="3"/>
  <c r="O41" i="3"/>
  <c r="M41" i="3"/>
  <c r="L41" i="3"/>
  <c r="N41" i="3" s="1"/>
  <c r="K41" i="3"/>
  <c r="I41" i="3"/>
  <c r="H41" i="3"/>
  <c r="N40" i="3"/>
  <c r="G40" i="3" s="1"/>
  <c r="K40" i="3"/>
  <c r="N39" i="3"/>
  <c r="G39" i="3" s="1"/>
  <c r="K39" i="3"/>
  <c r="N38" i="3"/>
  <c r="K38" i="3"/>
  <c r="G38" i="3"/>
  <c r="N37" i="3"/>
  <c r="G37" i="3" s="1"/>
  <c r="K37" i="3"/>
  <c r="O36" i="3"/>
  <c r="M36" i="3"/>
  <c r="L36" i="3"/>
  <c r="I36" i="3"/>
  <c r="H36" i="3"/>
  <c r="N35" i="3"/>
  <c r="K35" i="3"/>
  <c r="G35" i="3"/>
  <c r="N34" i="3"/>
  <c r="K34" i="3"/>
  <c r="G34" i="3"/>
  <c r="N33" i="3"/>
  <c r="K33" i="3"/>
  <c r="G33" i="3"/>
  <c r="N32" i="3"/>
  <c r="K32" i="3"/>
  <c r="H32" i="3"/>
  <c r="H17" i="3" s="1"/>
  <c r="G32" i="3"/>
  <c r="O31" i="3"/>
  <c r="M31" i="3"/>
  <c r="L31" i="3"/>
  <c r="I31" i="3"/>
  <c r="O30" i="3"/>
  <c r="M30" i="3"/>
  <c r="L30" i="3"/>
  <c r="J30" i="3"/>
  <c r="I30" i="3"/>
  <c r="H30" i="3"/>
  <c r="O29" i="3"/>
  <c r="M29" i="3"/>
  <c r="L29" i="3"/>
  <c r="O28" i="3"/>
  <c r="O26" i="3" s="1"/>
  <c r="M28" i="3"/>
  <c r="L28" i="3"/>
  <c r="K28" i="3"/>
  <c r="J28" i="3"/>
  <c r="I28" i="3"/>
  <c r="H28" i="3"/>
  <c r="O27" i="3"/>
  <c r="M27" i="3"/>
  <c r="M26" i="3" s="1"/>
  <c r="L27" i="3"/>
  <c r="L26" i="3" s="1"/>
  <c r="K27" i="3"/>
  <c r="J27" i="3"/>
  <c r="I27" i="3"/>
  <c r="AH25" i="3"/>
  <c r="AE25" i="3"/>
  <c r="AB25" i="3"/>
  <c r="O25" i="3"/>
  <c r="AJ25" i="3" s="1"/>
  <c r="M25" i="3"/>
  <c r="L25" i="3"/>
  <c r="AG25" i="3" s="1"/>
  <c r="J25" i="3"/>
  <c r="I25" i="3"/>
  <c r="AD25" i="3" s="1"/>
  <c r="H25" i="3"/>
  <c r="H21" i="3" s="1"/>
  <c r="AC21" i="3" s="1"/>
  <c r="G25" i="3"/>
  <c r="AJ24" i="3"/>
  <c r="AD24" i="3"/>
  <c r="AC24" i="3"/>
  <c r="O24" i="3"/>
  <c r="I24" i="3"/>
  <c r="H24" i="3"/>
  <c r="AJ23" i="3"/>
  <c r="AE23" i="3"/>
  <c r="O23" i="3"/>
  <c r="L23" i="3"/>
  <c r="J23" i="3"/>
  <c r="I23" i="3"/>
  <c r="AD23" i="3" s="1"/>
  <c r="H23" i="3"/>
  <c r="AC23" i="3" s="1"/>
  <c r="AH22" i="3"/>
  <c r="AG22" i="3"/>
  <c r="AE22" i="3"/>
  <c r="AD22" i="3"/>
  <c r="O22" i="3"/>
  <c r="AJ22" i="3" s="1"/>
  <c r="M22" i="3"/>
  <c r="L22" i="3"/>
  <c r="K22" i="3"/>
  <c r="J22" i="3"/>
  <c r="I22" i="3"/>
  <c r="H22" i="3"/>
  <c r="AC22" i="3" s="1"/>
  <c r="O21" i="3"/>
  <c r="AJ21" i="3" s="1"/>
  <c r="AC20" i="3"/>
  <c r="O20" i="3"/>
  <c r="AJ20" i="3" s="1"/>
  <c r="L20" i="3"/>
  <c r="J20" i="3"/>
  <c r="AE20" i="3" s="1"/>
  <c r="I20" i="3"/>
  <c r="H20" i="3"/>
  <c r="AJ19" i="3"/>
  <c r="AH19" i="3"/>
  <c r="AC19" i="3"/>
  <c r="O19" i="3"/>
  <c r="M19" i="3"/>
  <c r="I19" i="3"/>
  <c r="AD19" i="3" s="1"/>
  <c r="AJ18" i="3"/>
  <c r="AG18" i="3"/>
  <c r="AD18" i="3"/>
  <c r="O18" i="3"/>
  <c r="O12" i="3" s="1"/>
  <c r="AJ12" i="3" s="1"/>
  <c r="M18" i="3"/>
  <c r="L18" i="3"/>
  <c r="I18" i="3"/>
  <c r="H18" i="3"/>
  <c r="AJ17" i="3"/>
  <c r="AG17" i="3"/>
  <c r="O17" i="3"/>
  <c r="M17" i="3"/>
  <c r="AH17" i="3" s="1"/>
  <c r="L17" i="3"/>
  <c r="J17" i="3"/>
  <c r="I17" i="3"/>
  <c r="AJ15" i="3"/>
  <c r="AI15" i="3"/>
  <c r="AH15" i="3"/>
  <c r="AG15" i="3"/>
  <c r="AF15" i="3"/>
  <c r="AE15" i="3"/>
  <c r="AD15" i="3"/>
  <c r="AC15" i="3"/>
  <c r="AB15" i="3"/>
  <c r="AJ14" i="3"/>
  <c r="O14" i="3"/>
  <c r="AJ13" i="3"/>
  <c r="O13" i="3"/>
  <c r="I13" i="3"/>
  <c r="AD12" i="3"/>
  <c r="I12" i="3"/>
  <c r="M11" i="3"/>
  <c r="L11" i="3"/>
  <c r="AG11" i="3" s="1"/>
  <c r="E10" i="4" l="1"/>
  <c r="M13" i="1" s="1"/>
  <c r="E12" i="4"/>
  <c r="F10" i="4"/>
  <c r="F7" i="4" s="1"/>
  <c r="F12" i="4"/>
  <c r="I14" i="3"/>
  <c r="AD20" i="3"/>
  <c r="G20" i="3"/>
  <c r="K20" i="3"/>
  <c r="K198" i="3"/>
  <c r="K188" i="3" s="1"/>
  <c r="J188" i="3"/>
  <c r="J186" i="3" s="1"/>
  <c r="N17" i="3"/>
  <c r="I16" i="3"/>
  <c r="AD17" i="3"/>
  <c r="I11" i="3"/>
  <c r="G36" i="3"/>
  <c r="G274" i="3"/>
  <c r="N254" i="3"/>
  <c r="G17" i="3"/>
  <c r="G201" i="3"/>
  <c r="AC17" i="3"/>
  <c r="H16" i="3"/>
  <c r="AC16" i="3" s="1"/>
  <c r="H11" i="3"/>
  <c r="AB22" i="3"/>
  <c r="M12" i="3"/>
  <c r="AH12" i="3" s="1"/>
  <c r="AH18" i="3"/>
  <c r="N18" i="3"/>
  <c r="AI18" i="3" s="1"/>
  <c r="K18" i="3"/>
  <c r="H186" i="3"/>
  <c r="L251" i="3"/>
  <c r="L249" i="3"/>
  <c r="N249" i="3" s="1"/>
  <c r="G271" i="3"/>
  <c r="N156" i="3"/>
  <c r="K156" i="3"/>
  <c r="N36" i="3"/>
  <c r="K36" i="3"/>
  <c r="N226" i="3"/>
  <c r="K226" i="3"/>
  <c r="AD13" i="3"/>
  <c r="AH11" i="3"/>
  <c r="L166" i="3"/>
  <c r="N166" i="3" s="1"/>
  <c r="L124" i="3"/>
  <c r="N169" i="3"/>
  <c r="G169" i="3" s="1"/>
  <c r="G166" i="3" s="1"/>
  <c r="L19" i="3"/>
  <c r="M190" i="3"/>
  <c r="N190" i="3" s="1"/>
  <c r="N205" i="3"/>
  <c r="G205" i="3" s="1"/>
  <c r="M20" i="3"/>
  <c r="M201" i="3"/>
  <c r="K23" i="3"/>
  <c r="AF23" i="3" s="1"/>
  <c r="J11" i="3"/>
  <c r="AE17" i="3"/>
  <c r="AC25" i="3"/>
  <c r="M249" i="3"/>
  <c r="K76" i="3"/>
  <c r="N224" i="3"/>
  <c r="G224" i="3" s="1"/>
  <c r="G221" i="3" s="1"/>
  <c r="L221" i="3"/>
  <c r="N221" i="3" s="1"/>
  <c r="J247" i="3"/>
  <c r="J246" i="3" s="1"/>
  <c r="J251" i="3"/>
  <c r="N122" i="3"/>
  <c r="G122" i="3" s="1"/>
  <c r="I121" i="3"/>
  <c r="J171" i="3"/>
  <c r="K174" i="3"/>
  <c r="K124" i="3" s="1"/>
  <c r="J124" i="3"/>
  <c r="G276" i="3"/>
  <c r="AF22" i="3"/>
  <c r="AG23" i="3"/>
  <c r="I21" i="3"/>
  <c r="H206" i="3"/>
  <c r="K221" i="3"/>
  <c r="G241" i="3"/>
  <c r="N250" i="3"/>
  <c r="K250" i="3"/>
  <c r="G258" i="3"/>
  <c r="G256" i="3" s="1"/>
  <c r="N253" i="3"/>
  <c r="G253" i="3" s="1"/>
  <c r="N361" i="3"/>
  <c r="K361" i="3"/>
  <c r="L14" i="3"/>
  <c r="AG14" i="3" s="1"/>
  <c r="AG20" i="3"/>
  <c r="G31" i="3"/>
  <c r="K25" i="3"/>
  <c r="AF25" i="3" s="1"/>
  <c r="H12" i="3"/>
  <c r="AC12" i="3" s="1"/>
  <c r="AC18" i="3"/>
  <c r="N23" i="3"/>
  <c r="AI23" i="3" s="1"/>
  <c r="H29" i="3"/>
  <c r="G29" i="3" s="1"/>
  <c r="L12" i="3"/>
  <c r="AG12" i="3" s="1"/>
  <c r="H14" i="3"/>
  <c r="AC14" i="3" s="1"/>
  <c r="N22" i="3"/>
  <c r="AI22" i="3" s="1"/>
  <c r="H27" i="3"/>
  <c r="N31" i="3"/>
  <c r="K31" i="3"/>
  <c r="K30" i="3"/>
  <c r="N46" i="3"/>
  <c r="H51" i="3"/>
  <c r="N86" i="3"/>
  <c r="G106" i="3"/>
  <c r="K125" i="3"/>
  <c r="N161" i="3"/>
  <c r="G171" i="3"/>
  <c r="O186" i="3"/>
  <c r="G286" i="3"/>
  <c r="G291" i="3"/>
  <c r="N346" i="3"/>
  <c r="K346" i="3"/>
  <c r="N349" i="3"/>
  <c r="G349" i="3" s="1"/>
  <c r="H247" i="3"/>
  <c r="H251" i="3"/>
  <c r="G266" i="3"/>
  <c r="K249" i="3"/>
  <c r="H31" i="3"/>
  <c r="K54" i="3"/>
  <c r="K19" i="3" s="1"/>
  <c r="I51" i="3"/>
  <c r="N66" i="3"/>
  <c r="I186" i="3"/>
  <c r="N187" i="3"/>
  <c r="G187" i="3" s="1"/>
  <c r="G191" i="3"/>
  <c r="J14" i="3"/>
  <c r="AE14" i="3" s="1"/>
  <c r="N19" i="3"/>
  <c r="AI19" i="3" s="1"/>
  <c r="J24" i="3"/>
  <c r="N25" i="3"/>
  <c r="AI25" i="3" s="1"/>
  <c r="N27" i="3"/>
  <c r="N28" i="3"/>
  <c r="G28" i="3" s="1"/>
  <c r="I26" i="3"/>
  <c r="N30" i="3"/>
  <c r="G30" i="3" s="1"/>
  <c r="N54" i="3"/>
  <c r="G54" i="3" s="1"/>
  <c r="G51" i="3" s="1"/>
  <c r="N69" i="3"/>
  <c r="G69" i="3" s="1"/>
  <c r="G66" i="3" s="1"/>
  <c r="K69" i="3"/>
  <c r="N96" i="3"/>
  <c r="K96" i="3"/>
  <c r="G136" i="3"/>
  <c r="M186" i="3"/>
  <c r="G190" i="3"/>
  <c r="L209" i="3"/>
  <c r="L206" i="3" s="1"/>
  <c r="H249" i="3"/>
  <c r="G254" i="3"/>
  <c r="I326" i="3"/>
  <c r="N328" i="3"/>
  <c r="G328" i="3" s="1"/>
  <c r="G326" i="3" s="1"/>
  <c r="G347" i="3"/>
  <c r="I248" i="3"/>
  <c r="I251" i="3"/>
  <c r="G262" i="3"/>
  <c r="G261" i="3" s="1"/>
  <c r="N252" i="3"/>
  <c r="G252" i="3" s="1"/>
  <c r="K208" i="3"/>
  <c r="G321" i="3"/>
  <c r="K17" i="3"/>
  <c r="O16" i="3"/>
  <c r="AJ16" i="3" s="1"/>
  <c r="O11" i="3"/>
  <c r="N61" i="3"/>
  <c r="J19" i="3"/>
  <c r="J66" i="3"/>
  <c r="K66" i="3" s="1"/>
  <c r="G86" i="3"/>
  <c r="N91" i="3"/>
  <c r="K133" i="3"/>
  <c r="K123" i="3" s="1"/>
  <c r="J123" i="3"/>
  <c r="J18" i="3"/>
  <c r="N171" i="3"/>
  <c r="K171" i="3"/>
  <c r="M176" i="3"/>
  <c r="N176" i="3" s="1"/>
  <c r="M123" i="3"/>
  <c r="N123" i="3" s="1"/>
  <c r="G123" i="3" s="1"/>
  <c r="N178" i="3"/>
  <c r="G178" i="3" s="1"/>
  <c r="G176" i="3" s="1"/>
  <c r="M184" i="3"/>
  <c r="L184" i="3"/>
  <c r="N183" i="3"/>
  <c r="G183" i="3" s="1"/>
  <c r="K200" i="3"/>
  <c r="K190" i="3" s="1"/>
  <c r="J190" i="3"/>
  <c r="G226" i="3"/>
  <c r="K336" i="3"/>
  <c r="N347" i="3"/>
  <c r="I247" i="3"/>
  <c r="N350" i="3"/>
  <c r="G350" i="3" s="1"/>
  <c r="K386" i="3"/>
  <c r="N386" i="3"/>
  <c r="K391" i="3"/>
  <c r="K348" i="3"/>
  <c r="N111" i="3"/>
  <c r="N116" i="3"/>
  <c r="G125" i="3"/>
  <c r="K136" i="3"/>
  <c r="G196" i="3"/>
  <c r="N201" i="3"/>
  <c r="K201" i="3"/>
  <c r="I209" i="3"/>
  <c r="N219" i="3"/>
  <c r="G219" i="3" s="1"/>
  <c r="G216" i="3" s="1"/>
  <c r="I216" i="3"/>
  <c r="N236" i="3"/>
  <c r="K236" i="3"/>
  <c r="L246" i="3"/>
  <c r="M250" i="3"/>
  <c r="N266" i="3"/>
  <c r="K266" i="3"/>
  <c r="K252" i="3"/>
  <c r="G301" i="3"/>
  <c r="G371" i="3"/>
  <c r="G401" i="3"/>
  <c r="N126" i="3"/>
  <c r="N146" i="3"/>
  <c r="M251" i="3"/>
  <c r="M248" i="3"/>
  <c r="M246" i="3" s="1"/>
  <c r="G260" i="3"/>
  <c r="N255" i="3"/>
  <c r="G255" i="3" s="1"/>
  <c r="G376" i="3"/>
  <c r="K349" i="3"/>
  <c r="G406" i="3"/>
  <c r="K264" i="3"/>
  <c r="K254" i="3" s="1"/>
  <c r="N301" i="3"/>
  <c r="G348" i="3"/>
  <c r="N371" i="3"/>
  <c r="G381" i="3"/>
  <c r="K126" i="3"/>
  <c r="G156" i="3"/>
  <c r="G188" i="3"/>
  <c r="N189" i="3"/>
  <c r="G189" i="3" s="1"/>
  <c r="N196" i="3"/>
  <c r="K196" i="3"/>
  <c r="O206" i="3"/>
  <c r="G231" i="3"/>
  <c r="G250" i="3"/>
  <c r="O251" i="3"/>
  <c r="N256" i="3"/>
  <c r="N276" i="3"/>
  <c r="K276" i="3"/>
  <c r="N281" i="3"/>
  <c r="G329" i="3"/>
  <c r="H326" i="3"/>
  <c r="N351" i="3"/>
  <c r="K350" i="3"/>
  <c r="K401" i="3"/>
  <c r="K229" i="3"/>
  <c r="K209" i="3" s="1"/>
  <c r="F72" i="4" l="1"/>
  <c r="E7" i="4"/>
  <c r="AF19" i="3"/>
  <c r="H10" i="3"/>
  <c r="AC10" i="3" s="1"/>
  <c r="AC11" i="3"/>
  <c r="G18" i="3"/>
  <c r="K26" i="3"/>
  <c r="N26" i="3"/>
  <c r="G186" i="3"/>
  <c r="G27" i="3"/>
  <c r="G26" i="3" s="1"/>
  <c r="H26" i="3"/>
  <c r="P23" i="3"/>
  <c r="AD21" i="3"/>
  <c r="G19" i="3"/>
  <c r="K29" i="3"/>
  <c r="AD16" i="3"/>
  <c r="AD14" i="3"/>
  <c r="O10" i="3"/>
  <c r="AJ10" i="3" s="1"/>
  <c r="AJ11" i="3"/>
  <c r="N209" i="3"/>
  <c r="G209" i="3" s="1"/>
  <c r="G206" i="3" s="1"/>
  <c r="P206" i="3" s="1"/>
  <c r="I206" i="3"/>
  <c r="AE11" i="3"/>
  <c r="AD11" i="3"/>
  <c r="I10" i="3"/>
  <c r="N11" i="3"/>
  <c r="AI11" i="3" s="1"/>
  <c r="AF18" i="3"/>
  <c r="K12" i="3"/>
  <c r="AF12" i="3" s="1"/>
  <c r="G346" i="3"/>
  <c r="AE19" i="3"/>
  <c r="J13" i="3"/>
  <c r="AE13" i="3" s="1"/>
  <c r="AH20" i="3"/>
  <c r="M14" i="3"/>
  <c r="AH14" i="3" s="1"/>
  <c r="N20" i="3"/>
  <c r="AI20" i="3" s="1"/>
  <c r="AE18" i="3"/>
  <c r="J12" i="3"/>
  <c r="AE12" i="3" s="1"/>
  <c r="L121" i="3"/>
  <c r="N12" i="3"/>
  <c r="AI12" i="3" s="1"/>
  <c r="N251" i="3"/>
  <c r="K251" i="3"/>
  <c r="K248" i="3"/>
  <c r="N248" i="3"/>
  <c r="G248" i="3" s="1"/>
  <c r="AF17" i="3"/>
  <c r="K11" i="3"/>
  <c r="K16" i="3"/>
  <c r="AF16" i="3" s="1"/>
  <c r="G23" i="3"/>
  <c r="K24" i="3"/>
  <c r="AF24" i="3" s="1"/>
  <c r="N326" i="3"/>
  <c r="K326" i="3"/>
  <c r="N186" i="3"/>
  <c r="K186" i="3"/>
  <c r="G11" i="3"/>
  <c r="AB17" i="3"/>
  <c r="J121" i="3"/>
  <c r="K121" i="3" s="1"/>
  <c r="M16" i="3"/>
  <c r="AH16" i="3" s="1"/>
  <c r="G249" i="3"/>
  <c r="H246" i="3"/>
  <c r="K14" i="3"/>
  <c r="AF14" i="3" s="1"/>
  <c r="AF20" i="3"/>
  <c r="AB20" i="3"/>
  <c r="G14" i="3"/>
  <c r="AB14" i="3" s="1"/>
  <c r="J16" i="3"/>
  <c r="AE16" i="3" s="1"/>
  <c r="AI17" i="3"/>
  <c r="N247" i="3"/>
  <c r="G247" i="3" s="1"/>
  <c r="G246" i="3" s="1"/>
  <c r="P246" i="3" s="1"/>
  <c r="I246" i="3"/>
  <c r="K247" i="3"/>
  <c r="N184" i="3"/>
  <c r="G184" i="3" s="1"/>
  <c r="G24" i="3" s="1"/>
  <c r="AB24" i="3" s="1"/>
  <c r="L24" i="3"/>
  <c r="L181" i="3"/>
  <c r="G251" i="3"/>
  <c r="K216" i="3"/>
  <c r="N216" i="3"/>
  <c r="M24" i="3"/>
  <c r="M124" i="3"/>
  <c r="N124" i="3" s="1"/>
  <c r="G124" i="3" s="1"/>
  <c r="G121" i="3" s="1"/>
  <c r="P121" i="3" s="1"/>
  <c r="M181" i="3"/>
  <c r="AE24" i="3"/>
  <c r="J21" i="3"/>
  <c r="AE21" i="3" s="1"/>
  <c r="K51" i="3"/>
  <c r="N51" i="3"/>
  <c r="L16" i="3"/>
  <c r="AG16" i="3" s="1"/>
  <c r="L13" i="3"/>
  <c r="AG19" i="3"/>
  <c r="M10" i="1" l="1"/>
  <c r="E72" i="4"/>
  <c r="AB19" i="3"/>
  <c r="G13" i="3"/>
  <c r="AB13" i="3" s="1"/>
  <c r="AB23" i="3"/>
  <c r="G21" i="3"/>
  <c r="AB21" i="3" s="1"/>
  <c r="AD10" i="3"/>
  <c r="N14" i="3"/>
  <c r="AI14" i="3" s="1"/>
  <c r="AB18" i="3"/>
  <c r="G12" i="3"/>
  <c r="AB12" i="3" s="1"/>
  <c r="K21" i="3"/>
  <c r="AF21" i="3" s="1"/>
  <c r="G16" i="3"/>
  <c r="AB16" i="3" s="1"/>
  <c r="AF11" i="3"/>
  <c r="J10" i="3"/>
  <c r="AE10" i="3" s="1"/>
  <c r="P16" i="3"/>
  <c r="AG13" i="3"/>
  <c r="AH24" i="3"/>
  <c r="M13" i="3"/>
  <c r="M21" i="3"/>
  <c r="AH21" i="3" s="1"/>
  <c r="K246" i="3"/>
  <c r="N246" i="3"/>
  <c r="G10" i="3"/>
  <c r="AB10" i="3" s="1"/>
  <c r="AB11" i="3"/>
  <c r="G181" i="3"/>
  <c r="N16" i="3"/>
  <c r="AI16" i="3" s="1"/>
  <c r="N181" i="3"/>
  <c r="M121" i="3"/>
  <c r="N121" i="3" s="1"/>
  <c r="L10" i="3"/>
  <c r="AG10" i="3" s="1"/>
  <c r="AG24" i="3"/>
  <c r="N24" i="3"/>
  <c r="AI24" i="3" s="1"/>
  <c r="L21" i="3"/>
  <c r="N206" i="3"/>
  <c r="K206" i="3"/>
  <c r="P186" i="3"/>
  <c r="K13" i="3"/>
  <c r="AF13" i="3" s="1"/>
  <c r="AH13" i="3" l="1"/>
  <c r="M10" i="3"/>
  <c r="AH10" i="3" s="1"/>
  <c r="N13" i="3"/>
  <c r="AI13" i="3" s="1"/>
  <c r="K10" i="3"/>
  <c r="AF10" i="3" s="1"/>
  <c r="AG21" i="3"/>
  <c r="N21" i="3"/>
  <c r="AI21" i="3" s="1"/>
  <c r="P26" i="3"/>
  <c r="Q206" i="3"/>
  <c r="Q246" i="3"/>
  <c r="Q121" i="3"/>
  <c r="N10" i="3" l="1"/>
  <c r="AI10" i="3" s="1"/>
  <c r="I21" i="1" l="1"/>
  <c r="I261" i="1" l="1"/>
  <c r="H261" i="1"/>
  <c r="G261" i="1"/>
  <c r="I256" i="1"/>
  <c r="H256" i="1"/>
  <c r="G256" i="1"/>
  <c r="I251" i="1"/>
  <c r="H251" i="1"/>
  <c r="G251" i="1"/>
  <c r="I246" i="1"/>
  <c r="H246" i="1"/>
  <c r="G246" i="1"/>
  <c r="I221" i="1"/>
  <c r="H221" i="1"/>
  <c r="G221" i="1"/>
  <c r="I206" i="1"/>
  <c r="H206" i="1"/>
  <c r="G206" i="1"/>
  <c r="I201" i="1"/>
  <c r="H201" i="1"/>
  <c r="G201" i="1"/>
  <c r="I196" i="1"/>
  <c r="H196" i="1"/>
  <c r="G196" i="1"/>
  <c r="I191" i="1"/>
  <c r="H191" i="1"/>
  <c r="G191" i="1"/>
  <c r="I186" i="1"/>
  <c r="H186" i="1"/>
  <c r="G186" i="1"/>
  <c r="I181" i="1"/>
  <c r="H181" i="1"/>
  <c r="G181" i="1"/>
  <c r="I176" i="1"/>
  <c r="H176" i="1"/>
  <c r="G176" i="1"/>
  <c r="H141" i="1"/>
  <c r="G141" i="1"/>
  <c r="I136" i="1"/>
  <c r="H136" i="1"/>
  <c r="G136" i="1"/>
  <c r="I131" i="1"/>
  <c r="H131" i="1"/>
  <c r="G131" i="1"/>
  <c r="I101" i="1"/>
  <c r="H98" i="1"/>
  <c r="G98" i="1"/>
  <c r="I96" i="1"/>
  <c r="H96" i="1" l="1"/>
  <c r="H23" i="1"/>
  <c r="G96" i="1"/>
  <c r="G23" i="1"/>
  <c r="G12" i="1" s="1"/>
  <c r="H12" i="1"/>
  <c r="G11" i="1"/>
  <c r="I11" i="1"/>
  <c r="I16" i="1"/>
  <c r="I12" i="1"/>
  <c r="I13" i="1"/>
  <c r="I14" i="1"/>
  <c r="H11" i="1"/>
  <c r="H21" i="1" l="1"/>
  <c r="G21" i="1"/>
  <c r="I10" i="1"/>
  <c r="G101" i="1"/>
  <c r="H101" i="1"/>
  <c r="I56" i="1" l="1"/>
  <c r="H56" i="1"/>
  <c r="G56" i="1"/>
  <c r="G61" i="1" l="1"/>
  <c r="H120" i="1" l="1"/>
  <c r="G120" i="1"/>
  <c r="G110" i="1" l="1"/>
  <c r="H110" i="1"/>
  <c r="H14" i="1"/>
  <c r="G14" i="1" l="1"/>
  <c r="H147" i="1" l="1"/>
  <c r="I148" i="1"/>
  <c r="G149" i="1"/>
  <c r="H148" i="1"/>
  <c r="I149" i="1"/>
  <c r="G147" i="1"/>
  <c r="H150" i="1"/>
  <c r="I147" i="1"/>
  <c r="G150" i="1"/>
  <c r="H149" i="1"/>
  <c r="I150" i="1"/>
  <c r="I31" i="1" l="1"/>
  <c r="H36" i="1"/>
  <c r="G36" i="1"/>
  <c r="I236" i="1" l="1"/>
  <c r="H236" i="1"/>
  <c r="G236" i="1"/>
  <c r="I231" i="1"/>
  <c r="H231" i="1"/>
  <c r="G231" i="1"/>
  <c r="I171" i="1"/>
  <c r="H171" i="1"/>
  <c r="G171" i="1"/>
  <c r="I166" i="1"/>
  <c r="H166" i="1"/>
  <c r="G166" i="1"/>
  <c r="I161" i="1"/>
  <c r="H161" i="1"/>
  <c r="G161" i="1"/>
  <c r="I156" i="1"/>
  <c r="H156" i="1"/>
  <c r="G156" i="1"/>
  <c r="H126" i="1"/>
  <c r="G126" i="1"/>
  <c r="I46" i="1"/>
  <c r="H116" i="1"/>
  <c r="I116" i="1"/>
  <c r="G116" i="1"/>
  <c r="I111" i="1"/>
  <c r="H111" i="1"/>
  <c r="G111" i="1"/>
  <c r="H94" i="1"/>
  <c r="G94" i="1"/>
  <c r="I91" i="1"/>
  <c r="I86" i="1"/>
  <c r="H86" i="1"/>
  <c r="G86" i="1"/>
  <c r="I81" i="1"/>
  <c r="H81" i="1"/>
  <c r="G81" i="1"/>
  <c r="I76" i="1"/>
  <c r="H76" i="1"/>
  <c r="G76" i="1"/>
  <c r="I66" i="1"/>
  <c r="H66" i="1"/>
  <c r="G66" i="1"/>
  <c r="I61" i="1"/>
  <c r="H61" i="1"/>
  <c r="I51" i="1"/>
  <c r="H51" i="1"/>
  <c r="G51" i="1"/>
  <c r="H46" i="1"/>
  <c r="G46" i="1"/>
  <c r="I41" i="1"/>
  <c r="H41" i="1"/>
  <c r="G41" i="1"/>
  <c r="H31" i="1"/>
  <c r="G31" i="1"/>
  <c r="G91" i="1" l="1"/>
  <c r="H91" i="1"/>
  <c r="J121" i="1"/>
  <c r="G13" i="1" l="1"/>
  <c r="G16" i="1"/>
  <c r="H13" i="1"/>
  <c r="H16" i="1"/>
  <c r="G10" i="1" l="1"/>
  <c r="H10" i="1"/>
  <c r="I151" i="1" l="1"/>
  <c r="I26" i="1"/>
  <c r="G121" i="1"/>
  <c r="H26" i="1"/>
  <c r="H71" i="1"/>
  <c r="I106" i="1"/>
  <c r="I216" i="1"/>
  <c r="H121" i="1"/>
  <c r="G151" i="1"/>
  <c r="I226" i="1"/>
  <c r="G106" i="1"/>
  <c r="I121" i="1"/>
  <c r="I71" i="1"/>
  <c r="H106" i="1"/>
  <c r="G26" i="1"/>
  <c r="H226" i="1"/>
  <c r="G216" i="1"/>
  <c r="G226" i="1"/>
  <c r="H216" i="1"/>
  <c r="H151" i="1"/>
  <c r="G146" i="1" l="1"/>
  <c r="H146" i="1"/>
  <c r="I146" i="1"/>
  <c r="J71" i="1"/>
  <c r="J146" i="1" l="1"/>
  <c r="G71" i="1"/>
  <c r="J23" i="1" l="1"/>
  <c r="J16" i="1"/>
  <c r="I241" i="1" l="1"/>
  <c r="H241" i="1"/>
  <c r="G241" i="1"/>
  <c r="K121" i="1" l="1"/>
  <c r="K71" i="1"/>
  <c r="J106" i="1"/>
  <c r="K146" i="1"/>
  <c r="J26" i="1"/>
</calcChain>
</file>

<file path=xl/comments1.xml><?xml version="1.0" encoding="utf-8"?>
<comments xmlns="http://schemas.openxmlformats.org/spreadsheetml/2006/main">
  <authors>
    <author>Валентина Скрипкина</author>
  </authors>
  <commentList>
    <comment ref="F62" authorId="0" shapeId="0">
      <text>
        <r>
          <rPr>
            <b/>
            <sz val="9"/>
            <color indexed="81"/>
            <rFont val="Tahoma"/>
            <charset val="1"/>
          </rPr>
          <t>Валентина Скрипкина:</t>
        </r>
        <r>
          <rPr>
            <sz val="9"/>
            <color indexed="81"/>
            <rFont val="Tahoma"/>
            <charset val="1"/>
          </rPr>
          <t xml:space="preserve">
уменьшение на сумму 2489,89 выборы. В бюджете как собственные </t>
        </r>
      </text>
    </comment>
  </commentList>
</comments>
</file>

<file path=xl/sharedStrings.xml><?xml version="1.0" encoding="utf-8"?>
<sst xmlns="http://schemas.openxmlformats.org/spreadsheetml/2006/main" count="1488" uniqueCount="358">
  <si>
    <t>№ п/п</t>
  </si>
  <si>
    <t>Наименование мероприятия</t>
  </si>
  <si>
    <t>Мощность объекта, технические характеристики</t>
  </si>
  <si>
    <t>Ответственный исполнитель/соисполнитель</t>
  </si>
  <si>
    <t>Период реализации</t>
  </si>
  <si>
    <t>Источник</t>
  </si>
  <si>
    <t>II этап, с 2026 г.</t>
  </si>
  <si>
    <t>всего</t>
  </si>
  <si>
    <t>федеральный</t>
  </si>
  <si>
    <t>краевой</t>
  </si>
  <si>
    <t>бюджет МО</t>
  </si>
  <si>
    <t>внебюджетные</t>
  </si>
  <si>
    <t>1.</t>
  </si>
  <si>
    <t xml:space="preserve">Благоустройство и безопасность </t>
  </si>
  <si>
    <t xml:space="preserve">министерство строительства края / органы МСУ ТДНМР </t>
  </si>
  <si>
    <t>Благоустройство общественных пространств - СМР</t>
  </si>
  <si>
    <t>2024-2025</t>
  </si>
  <si>
    <t>министерство образования края / органы МСУ ТДНМР</t>
  </si>
  <si>
    <t>министерство строительства края / органы МСУ ТДНМР</t>
  </si>
  <si>
    <t>2023-2024</t>
  </si>
  <si>
    <t>министерство экологии и рационального природопользования края / органы МСУ ТДНМР</t>
  </si>
  <si>
    <t>Благоустройство набережной  - разработка ПСД</t>
  </si>
  <si>
    <t>500 метров</t>
  </si>
  <si>
    <t>Благоустройство набережной - СМР</t>
  </si>
  <si>
    <t>2024-2026</t>
  </si>
  <si>
    <t>2.</t>
  </si>
  <si>
    <t xml:space="preserve">Снятие транспортных и телекоммуникационных ограничений </t>
  </si>
  <si>
    <t>Устройство освещения пешеходных переходов в с. Хатанга</t>
  </si>
  <si>
    <t>4 перехода</t>
  </si>
  <si>
    <t>министерство транспорта края / органы МСУ ТДНМР</t>
  </si>
  <si>
    <t>2022-2023</t>
  </si>
  <si>
    <t>Приобретение специальной техники для содержания улично-дорожной сети</t>
  </si>
  <si>
    <t>колесный мини-погрузчик МКСМ-800НМ; роторная дробилка ДР-150; трактор Т10ПМ.8100 с оборудованием</t>
  </si>
  <si>
    <t>Капитальный ремонт улично-дорожной сети в с. Хатанга  - разработка ПСД</t>
  </si>
  <si>
    <t>Капитальный ремонт улично-дорожной сети в с. Хатанга  - СМР</t>
  </si>
  <si>
    <t>2023-2026</t>
  </si>
  <si>
    <t>Устройство наземных пешеходных ограждений в с. Хатанга - СМР</t>
  </si>
  <si>
    <t>1200 м</t>
  </si>
  <si>
    <t>2022-2026</t>
  </si>
  <si>
    <t>2022-2024</t>
  </si>
  <si>
    <t>министерство цифрового развития края</t>
  </si>
  <si>
    <t>3.</t>
  </si>
  <si>
    <t xml:space="preserve">Обновление жилищного фонда </t>
  </si>
  <si>
    <t>5.1.</t>
  </si>
  <si>
    <t>5.2.</t>
  </si>
  <si>
    <t>32-квартирный, 
4 этажа, 
год постройки - 1979</t>
  </si>
  <si>
    <t>4.</t>
  </si>
  <si>
    <t xml:space="preserve">Модернизация коммунальной инфраструктуры
</t>
  </si>
  <si>
    <t>министерство промышленности, энергетики и ЖКХ края / органы МСУ ТДНМР</t>
  </si>
  <si>
    <t xml:space="preserve">министерство промышленности, энергетики и ЖКХ края / органы МСУ ТДНМР
</t>
  </si>
  <si>
    <t>2022-2025</t>
  </si>
  <si>
    <t>5.</t>
  </si>
  <si>
    <t xml:space="preserve">Развитие социальной инфраструктуры </t>
  </si>
  <si>
    <t xml:space="preserve">Образование
</t>
  </si>
  <si>
    <t>80 мест</t>
  </si>
  <si>
    <t xml:space="preserve">Здравоохранение
</t>
  </si>
  <si>
    <t>министерство здравоохранения края</t>
  </si>
  <si>
    <t>5.3.</t>
  </si>
  <si>
    <t xml:space="preserve">Культура
</t>
  </si>
  <si>
    <t>министерство культуры края / органы МСУ ТДНМР</t>
  </si>
  <si>
    <t>Строительство здания Центра народного творчества в с. Хатанга</t>
  </si>
  <si>
    <t>Разработка ПСД на проведение капитального ремонта здания Дома культуры с. Хатанга</t>
  </si>
  <si>
    <t>Проведение капитального ремонта здания Дома культуры с. Хатанга</t>
  </si>
  <si>
    <t>2023-2025</t>
  </si>
  <si>
    <t xml:space="preserve">Создание туристско-рекреационной зоны </t>
  </si>
  <si>
    <t>1 территория - "Я люблю Хатангу"</t>
  </si>
  <si>
    <t xml:space="preserve">протяженность - 6,17 км, ширина - от 3 до 6 метров </t>
  </si>
  <si>
    <t>Капитальный ремонт здания спортивного зала  МБУК "КДК" по адресу: с. Хатанга, ул. Ангарская, 8</t>
  </si>
  <si>
    <t>органы МСУ ТДНМР / министерство транспорта края</t>
  </si>
  <si>
    <t>площадь – 629,2 кв.м</t>
  </si>
  <si>
    <t>устройство площадок, спортивных площадок, монтаж водоотводных лотков, монтаж подпорной стенки, установка ограждения территории, установка малых архитектурных форм</t>
  </si>
  <si>
    <t>ремонт внутри здания</t>
  </si>
  <si>
    <t>проектная мощность - 300 чел.</t>
  </si>
  <si>
    <r>
      <t>2826,5 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>,
устройство ограждения территории детского сада и спортивных площадок, с устройством монолитной железобетонной ленты фундамента на свайном основании, установка малых архитектурных форм</t>
    </r>
  </si>
  <si>
    <t>министерство экологии и рационального природопользования края</t>
  </si>
  <si>
    <t>Капитальный ремонт многоквартирных домов</t>
  </si>
  <si>
    <t>Ремонт сетей электроснабжения (сооружений электроэнергетики) в с. Хатанга и населенных пунктах - СМР</t>
  </si>
  <si>
    <t>министерство образования края / министерство строительства края / органы МСУ ТДНМР</t>
  </si>
  <si>
    <t>министерство культуры края / министерство строительства края / органы МСУ ТДНМР</t>
  </si>
  <si>
    <t>ремонт 2 этажа, замена окон, утепление и обшивка фасада</t>
  </si>
  <si>
    <t>5.3.3</t>
  </si>
  <si>
    <t>5.3.4</t>
  </si>
  <si>
    <t>5.3.5</t>
  </si>
  <si>
    <t>5.3.6</t>
  </si>
  <si>
    <t>5.3.7</t>
  </si>
  <si>
    <t>5.1.2</t>
  </si>
  <si>
    <t>5.1.3</t>
  </si>
  <si>
    <t>1.2</t>
  </si>
  <si>
    <t>1.3</t>
  </si>
  <si>
    <t>1.6</t>
  </si>
  <si>
    <t>1.7</t>
  </si>
  <si>
    <t>1.8</t>
  </si>
  <si>
    <t>1.9</t>
  </si>
  <si>
    <t>1.10</t>
  </si>
  <si>
    <t>1.11</t>
  </si>
  <si>
    <t>1.14</t>
  </si>
  <si>
    <t>2.1</t>
  </si>
  <si>
    <t>2.2</t>
  </si>
  <si>
    <t>2.3</t>
  </si>
  <si>
    <t>2.4</t>
  </si>
  <si>
    <t>2.5</t>
  </si>
  <si>
    <t>2.6</t>
  </si>
  <si>
    <t>2.9</t>
  </si>
  <si>
    <t>3.2</t>
  </si>
  <si>
    <t>3.3</t>
  </si>
  <si>
    <t>4.2</t>
  </si>
  <si>
    <t>4.3</t>
  </si>
  <si>
    <t xml:space="preserve">Оборудование населенных пунктов безопасными причальными сооружениями
</t>
  </si>
  <si>
    <t>2024-2027</t>
  </si>
  <si>
    <t>министерство цифрового развития края / органы МСУ ТДНМР</t>
  </si>
  <si>
    <t>Приобретение дизель-генераторных установок для организации стабильного электроснабжения в населенных пунктах сельского поселения Хатанга</t>
  </si>
  <si>
    <t>Проектирование и строительство средней школы на 100 учащихся в п. Хета</t>
  </si>
  <si>
    <t>100 учащихся</t>
  </si>
  <si>
    <t>Проектирование и строительство объекта "Начальная школа на 40 мест с дошкольными группами на 40 мест" в п. Сындасско</t>
  </si>
  <si>
    <t>40 мест с дошкольными группами на 40 мест</t>
  </si>
  <si>
    <t>2025-2026</t>
  </si>
  <si>
    <t>Проектирование и строительство объекта "Начальная школа на 40 мест с дошкольными группами на 40 мест" в п. Катырык</t>
  </si>
  <si>
    <t>2026-2028</t>
  </si>
  <si>
    <t xml:space="preserve">Капитальный ремонт ТМКОУ "Новинская начальная школа - детский сад" п. Новая </t>
  </si>
  <si>
    <t>проектная мощность - 60 чел.,
ремонт системы отопления, ремонт здания</t>
  </si>
  <si>
    <r>
      <t xml:space="preserve">Капитальный ремонт ТМКОУ "Попигайская начальная школа-интернат" п. Попигай </t>
    </r>
    <r>
      <rPr>
        <sz val="10"/>
        <color rgb="FFFF0000"/>
        <rFont val="Times New Roman"/>
        <family val="1"/>
        <charset val="204"/>
      </rPr>
      <t/>
    </r>
  </si>
  <si>
    <t>проектная мощность - 58 чел.,
капитальный ремонт системы электроснабжения (2022 г.),  ремонт системы отопления,  здания, установка модульной котельной</t>
  </si>
  <si>
    <t>2022, 2025-2027</t>
  </si>
  <si>
    <t>Капитальный ремонт филиала ТМКОУ "Хатангская средняя школа" - "Малокомплектная начальная школа-детский сад" п. Жданиха</t>
  </si>
  <si>
    <t>проектная мощность -50 чел., 
утепление и обшивка здания, замена полов, замена электропроводки</t>
  </si>
  <si>
    <t>2025-2027</t>
  </si>
  <si>
    <t>проектная мощность - 60 чел.,
ремонт кровли; утепление и обшивка здания; замена окон, полов, дверей, замена электропроводки</t>
  </si>
  <si>
    <t>проектная мощность - 105 чел.,
приобретение и установка модульной котельной для спортзала, утепление и замена полов во всем здании, замена дверей</t>
  </si>
  <si>
    <t>Строительство дома культуры в п. Кресты - разработка ПСД</t>
  </si>
  <si>
    <t>площадь – 300 кв. м.
вместимость – 60 мест</t>
  </si>
  <si>
    <t>Строительство дома культуры в п. Кресты - СМР</t>
  </si>
  <si>
    <t>Строительство дома культуры в п. Хета</t>
  </si>
  <si>
    <t>площадь – 422,6 кв.м.
вместимость – 100 мест</t>
  </si>
  <si>
    <t>3.1.1</t>
  </si>
  <si>
    <t>3.1.2</t>
  </si>
  <si>
    <t>3.1.3</t>
  </si>
  <si>
    <t>3.1.5</t>
  </si>
  <si>
    <t>3.1.6</t>
  </si>
  <si>
    <t>3.1.7</t>
  </si>
  <si>
    <t>3.1.8</t>
  </si>
  <si>
    <t>3.1.9</t>
  </si>
  <si>
    <t>3.3.2</t>
  </si>
  <si>
    <t>3.3.3</t>
  </si>
  <si>
    <t>3.3.4</t>
  </si>
  <si>
    <t>3.3.5</t>
  </si>
  <si>
    <t>1. ул. Советская, 29 (фасад, фундамент);
2. ул. Экспедиционная, 1 (крыша, фасад, фундамент)
3.  ул. Полярная, 30 (крыша, фасад, фундамент); 
4. ул. Полярная, 37 (крыша, фасад, фундамент);
5.  ул. Советская, 35 (крыша, фасад, фундамент);
6.  ул. Советская, 37 (крыша, фасад, фундамент);
7. ул. Краснопеева, 21а (крыша, фасад, фундамент);
8. ул. Краснопеева, 8 (крыша, фасад, фундамент);
9. ул. Краснопеева, 10 (крыша, фасад, фундамент);
10. ул. Таймырская, 16 (крыша, фасад, фундамент)</t>
  </si>
  <si>
    <t>в том числе</t>
  </si>
  <si>
    <t>по с. Хатанга</t>
  </si>
  <si>
    <t>по иным населенным пунктам с.п. Хатанга</t>
  </si>
  <si>
    <t>Строительство площадки временного накопления  твердых коммунальных отходов в с. Хатанга</t>
  </si>
  <si>
    <t>Субсидирование дополнительных пассажирских рейсов в период речной навигации и изменение маршрутной сети пассажирских перевозок</t>
  </si>
  <si>
    <t>Проектирование и строительство объекта "Детское дошкольное учреждение" в с. Хатанга</t>
  </si>
  <si>
    <t>Реконструкция спального корпуса ТМКОУ "Хатангская средняя школа-интернат" с. Хатанга</t>
  </si>
  <si>
    <t>Капитальный ремонт территории ТМКОУ "Хатангский детский сад комбинированного вида "Солнышко" с. Хатанга</t>
  </si>
  <si>
    <t xml:space="preserve">Организация предоставления услуг сотовой связи в населенных пунктах сельского поселения Хатанга 
</t>
  </si>
  <si>
    <t xml:space="preserve">Строительство ФАП
</t>
  </si>
  <si>
    <t>3.2.1</t>
  </si>
  <si>
    <t>1.16</t>
  </si>
  <si>
    <t>5.1.1</t>
  </si>
  <si>
    <t>5.1.4</t>
  </si>
  <si>
    <t>5.1.5</t>
  </si>
  <si>
    <t>5.3.1</t>
  </si>
  <si>
    <t xml:space="preserve">Содержание магистрального канала с. Хатанга </t>
  </si>
  <si>
    <t>средства КБ могут быть получены по итогам конкурсного отбора</t>
  </si>
  <si>
    <t>Объем финансирования в целом по с.п. Хатанга</t>
  </si>
  <si>
    <t>2.7</t>
  </si>
  <si>
    <t>1.15</t>
  </si>
  <si>
    <t>Ремонт сельского дома культуры, ДШИ в с. Хатанга (отдельные виды работ)</t>
  </si>
  <si>
    <t>Капитальный ремонт территории ТМКОУ "Хатангская средняя школа № 1" с. Хатанга</t>
  </si>
  <si>
    <t>Капитальный ремонт здания ТМКОУ "Хатангская средняя школа № 1"
с. Хатанга</t>
  </si>
  <si>
    <t>Ремонт сетей электроснабжения (сооружений электроэнергетики)
в с. Хатанга - СМР</t>
  </si>
  <si>
    <t>Ремонт сетей электроснабжения (сооружений электроэнергетики)
в с. Хатанга - разработка ПСД</t>
  </si>
  <si>
    <t>Берегоукрепление р. Хатанга
в с. Хатанга - разработка ПСД</t>
  </si>
  <si>
    <t>Ремонт фасада здания администрации с.п. Хатанга</t>
  </si>
  <si>
    <t>Ремонт здания отдела образовательных учреждений
с. Хатанга</t>
  </si>
  <si>
    <t xml:space="preserve">6 населенных пунктов:
2021 год - п. Новорыбная; 
2022 год - п. Хета;                                                 
2024 год - п. Новая, 
п. Катырык;
2025 год - п. Сындасско,
п. Попигай      </t>
  </si>
  <si>
    <t xml:space="preserve">2024: п. Кресты – 2,4 км (5,7 млн руб.); п. Хета – 2,3 км (5,5 млн руб.); п. Новая – 1,3 км (3,2 млн руб.);
п. Новорыбная – 4,3 км (10,6 млн руб.); п. Попигай – 1,6 км (3,9 млн руб.); п. Сындасско – 3 км (7,2 млн руб.);
2025: п. Катырык – 2,6 км (6,3 млн руб.); п. Жданиха – 1,7 км (4,0 млн руб.)
</t>
  </si>
  <si>
    <t>п. Жданиха;
п. Попигай</t>
  </si>
  <si>
    <t>1.18</t>
  </si>
  <si>
    <t>Ликвидация 2 ОНВОС, расположенных в с. Хатанга</t>
  </si>
  <si>
    <t>необеспеченная потребность 2023 года из КБ</t>
  </si>
  <si>
    <r>
      <t xml:space="preserve">бюджет МО
</t>
    </r>
    <r>
      <rPr>
        <i/>
        <sz val="8"/>
        <rFont val="Times New Roman"/>
        <family val="1"/>
        <charset val="204"/>
      </rPr>
      <t>(В-т 1 - свободные остатки на нач.года;
В-т 2 - бюджетный кредит;
В-т 3 - уточнение порядка отбора (КБ))</t>
    </r>
  </si>
  <si>
    <t>Разработка 2 проектов ликвидации ОНВОС, расположенных
в с. Хатанга, получение положительных заключений государственной экологической экспертизы</t>
  </si>
  <si>
    <t>14.02.2023 конкурсная комиссия приняла эту сумму</t>
  </si>
  <si>
    <t>Интерпретация цветовых решений:</t>
  </si>
  <si>
    <t>6 причальных сооружений: 2024 год - п. Сындасско, Новорыбное,                 
2025 год- п. Попигай, 
п. Новая;
2026 год - п. Хета;
2027 год - п. Катырык</t>
  </si>
  <si>
    <t>агентство по туризму края / органы МСУ ТДНМР</t>
  </si>
  <si>
    <t xml:space="preserve">Ремонт кровли многоквартирного дома по ул. Советская, 29 </t>
  </si>
  <si>
    <t>площадь загрязнения 116 200 кв. м, объем отходов - 65 215 куб.м.</t>
  </si>
  <si>
    <t>2023: 34,9 км</t>
  </si>
  <si>
    <t>2023: 3,1 км
2024-2025: 34,9 км</t>
  </si>
  <si>
    <t>Разработка ПСД и проведение ремонта ОКН "Братская могила десяти советско-партийных работников, погибших во время вражеской диверсии в 1932 году"
(с. Хатанга, ул. Советская, 25)</t>
  </si>
  <si>
    <t>служба по государственной охране объектов культурного наследия края / органы МСУ ТДНМР</t>
  </si>
  <si>
    <t>общая площадь  – 450 кв. м,
вместимость  – 80 мест</t>
  </si>
  <si>
    <t>площадь – 2350 кв. м,
вместимость – 308 мест</t>
  </si>
  <si>
    <t>2022 год - 3 ДЭС мощностью 240 кВт для населенных пунктов:
п. Хета, п. Попигай, п. Катырык, 
2023 год - 2 ДЭС мощностью 240 кВт для населенных пунктов: п. Сындасско, п. Новорыбная;
2024 год - 3 ДЭС мощностью 120 кВт для населенных пунктов: п. Новая, п. Кресты, п. Жданиха</t>
  </si>
  <si>
    <t>2023: п. Кресты – 2,4 км; п. Хета – 2,3 км; п. Новая – 1,3 км; 
2024: п. Новорыбная – 4,3 км; п. Попигай – 1,6 км; п. Сындасско – 3 км;
2025: п. Катырык – 2,6 км; п. Жданиха – 1,7 км</t>
  </si>
  <si>
    <t>Капитальный ремонт ТМКДОУ "Новорыбинский детский сад" п. Новорыбная</t>
  </si>
  <si>
    <t>Капитальный ремонт ТМКОУ "Новорыбинская средняя школа" п. Новорыбная</t>
  </si>
  <si>
    <t>Ремонт сельских домов культуры в сельском поселении Хатанга (отдельные виды работ)</t>
  </si>
  <si>
    <t>II.1. Финансируемые мероприятия, направленные на социально-экономическое развитие с. Хатанга</t>
  </si>
  <si>
    <t>органы МСУ ТДНМР/министерство транспорта края (в т.ч. в части согласования программ перевозок)</t>
  </si>
  <si>
    <t>Ремонт сетей электроснабжения (сооружений электроэнергетики) в населенных пунктах сельского поселения Хатанга - разработка ПСД</t>
  </si>
  <si>
    <t>отсутствует механизм реализации за счёт КБ</t>
  </si>
  <si>
    <t>Объем финансирования, тыс. рублей</t>
  </si>
  <si>
    <t>Всего</t>
  </si>
  <si>
    <t>в том числе  I этап</t>
  </si>
  <si>
    <t>предусмотрено в бюджете на 2023</t>
  </si>
  <si>
    <t>не обеспечено финансирова
нием на 2023</t>
  </si>
  <si>
    <t>2023 - 2025</t>
  </si>
  <si>
    <t>1.1</t>
  </si>
  <si>
    <t>Снос аварийных МКД и строений, непригодных к эксплуатации</t>
  </si>
  <si>
    <t>1 дом, ул. Таймырская, 17</t>
  </si>
  <si>
    <t>органы местного самоуправления Таймырского Долгано-Ненецкого муниципального района (далее - органы МСУ ТДНМР)</t>
  </si>
  <si>
    <t xml:space="preserve">Снос аварийного и выведенного из эксплуатации здания детского сада "Лучик" в с. Хатанга </t>
  </si>
  <si>
    <t>1 здание по адресу ул. Ангарская, 6, 5487 кв.м.</t>
  </si>
  <si>
    <t>органы МСУ ТДНМР</t>
  </si>
  <si>
    <t xml:space="preserve">Снос аварийного и выведенного из эксплуатации здания склада, расположенного в с. Хатанга
</t>
  </si>
  <si>
    <t>1 здание по адресу ул. Советская, 28А
(в оперативном управлении Управления образования ТДНМР)</t>
  </si>
  <si>
    <t>1.4</t>
  </si>
  <si>
    <t>Снос аварийного и выведенного из эксплуатации здания центра детского творчества ТМКОУ "Хатангский центр детского творчества" с. Хатанга</t>
  </si>
  <si>
    <t>1 здание по адресу ул. Аэропортовская, 14</t>
  </si>
  <si>
    <t>1.5</t>
  </si>
  <si>
    <t>Благоустройство общественных пространств - разработка ПСД (единой концепции по благоустройству
с. Хатанга)</t>
  </si>
  <si>
    <t>1.12</t>
  </si>
  <si>
    <t xml:space="preserve">Введение в эксплуатацию установки термического обезвреживания ТКО и промышленных отходов
</t>
  </si>
  <si>
    <t>министерство экологии и рационального природопользования края, эксплуатирующая организация МУП «Хатанга-Энергия»</t>
  </si>
  <si>
    <t>1.13</t>
  </si>
  <si>
    <t xml:space="preserve">Проведение дополнительных полевых работ, направленных на уточнение сведений, определение влияния ОНВОС на компоненты окружающей среды, постановка на учет в государственный реестр объектов накопленного вреда окружающей среде </t>
  </si>
  <si>
    <t>1.17</t>
  </si>
  <si>
    <t>Создание этнодеревни в с. Хатанга</t>
  </si>
  <si>
    <t>агентство по развитию северных территорий и поддержке коренных малочисленных народов Красноярского края / органы МСУ ТДНМР</t>
  </si>
  <si>
    <t>Приобретение и доставка автобусов  для нужд с. Хатанга</t>
  </si>
  <si>
    <t>2 автобуса марки ПАЗ-32053 в северном исполнении</t>
  </si>
  <si>
    <t>2.8</t>
  </si>
  <si>
    <t xml:space="preserve">Создание магистрального канала
с. Хатанга </t>
  </si>
  <si>
    <t>обеспечение магистрального канала не менее 50 Мбит/с</t>
  </si>
  <si>
    <t xml:space="preserve">Разработка ПСД на реконструкцию (ремонт) посадочных площадок
</t>
  </si>
  <si>
    <t>2 посадочные площадки - 
п. Попигай, п. Новорыбное</t>
  </si>
  <si>
    <t>3.1</t>
  </si>
  <si>
    <t xml:space="preserve">Выполнение работ по комплексному обследованию технического состояния строительных конструкций жилых многоквартирных домов, а также социальных и административных объектов, расположенных в с. Хатанга </t>
  </si>
  <si>
    <t>10 многоквартирных домов;
4 социальных и административных объекта:
МБУК "Хатангский Культурно-досуговый комплекс", спортзал, здание администрации Хатанги, административного здания муниципальной собственности с.п. Хатанга, переданного под размещение отделения полиции ОМВД России по Таймырскому Долгано-Ненецкому муниципальному району</t>
  </si>
  <si>
    <r>
      <t xml:space="preserve">бюджет МО
</t>
    </r>
    <r>
      <rPr>
        <i/>
        <sz val="8"/>
        <rFont val="Times New Roman"/>
        <family val="1"/>
        <charset val="204"/>
      </rPr>
      <t>(В-т 1 - свободные остатки на нач.года;
В-т 2 - бюджетный кредит)</t>
    </r>
  </si>
  <si>
    <t>4.1</t>
  </si>
  <si>
    <t>Приобретение и доставка блочно-модульной перекачивающей насосной станции горюче-смазочных материалов</t>
  </si>
  <si>
    <t>мощность 100 м³/ч.
(для  перекачки нефти/дизельного топлива как по технологическому трубопроводу, так и из автотопливозаправщиков в резервуарный парк, а также раздачу нефти/дизельного топлива в автотопливозаправщики во взрывоопасных зонах класса 1 и 2, категории IIА и IIВ и может применяться на складах ГСМ, пунктах слива-налива)</t>
  </si>
  <si>
    <t xml:space="preserve">Выполнение текущих ремонтных работ системы отопления нежилого помещения Территориального отдела администрации сельского поселения Хатанга в п. Хета </t>
  </si>
  <si>
    <t>3.1.4</t>
  </si>
  <si>
    <t xml:space="preserve">Капитальный ремонт филиала ТМКОУ "Хатангская средняя школа" п. Кресты </t>
  </si>
  <si>
    <t>проектная мощность - 40 чел.,
капитальный ремонт системы электроснабжения, приобретение модульной котельной</t>
  </si>
  <si>
    <t>5.2.1.</t>
  </si>
  <si>
    <t>Приобретение специальной техники - вездеход ТРЭКОЛ-39294</t>
  </si>
  <si>
    <t>1 ед. - вездеход ТРЭКОЛ-39294</t>
  </si>
  <si>
    <t>5.2.2.</t>
  </si>
  <si>
    <t>Ремонт Таймырской районной больницы в с. Хатанга - обследование строительных конструкций здания больницы</t>
  </si>
  <si>
    <t>площадь - 7723,8 кв. м</t>
  </si>
  <si>
    <t xml:space="preserve">министерство здравоохранения края </t>
  </si>
  <si>
    <t>"Капитальный ремонт" заменен на "ремонт", т.к. без обследования не понятно будет капитальный ремонт или реконструкция</t>
  </si>
  <si>
    <t>разработка ПСД по результатам обследования</t>
  </si>
  <si>
    <t>5.3.2</t>
  </si>
  <si>
    <t>Проектирование здания Центра народного творчества в с. Хатанга</t>
  </si>
  <si>
    <t>3.3.1</t>
  </si>
  <si>
    <t>Укрепление материально- технической базы учреждений культуры, в том числе для оказания  новых форм услуг в поселках сельского поселения Хатанга</t>
  </si>
  <si>
    <t>Модернизация коммунальной инфраструктуры</t>
  </si>
  <si>
    <t>1.2 н/п</t>
  </si>
  <si>
    <t>1.3 н/п</t>
  </si>
  <si>
    <t>2.1 н/п</t>
  </si>
  <si>
    <t>2.2 н/п</t>
  </si>
  <si>
    <t>2.3 н/п</t>
  </si>
  <si>
    <t>3.1.1 н/п</t>
  </si>
  <si>
    <t>3.1.2 н/п</t>
  </si>
  <si>
    <t>3.1.3 н/п</t>
  </si>
  <si>
    <t>3.1.5 н/п</t>
  </si>
  <si>
    <t>3.1.6 н/п</t>
  </si>
  <si>
    <t>3.1.7 н/п</t>
  </si>
  <si>
    <t>3.1.8 н/п</t>
  </si>
  <si>
    <t>3.1.9 н/п</t>
  </si>
  <si>
    <t>3.2.1 н/п</t>
  </si>
  <si>
    <t>3.3.2 н/п</t>
  </si>
  <si>
    <t>3.3.3 н/п</t>
  </si>
  <si>
    <t>3.3.4 н/п</t>
  </si>
  <si>
    <t>3.3.5 н/п</t>
  </si>
  <si>
    <r>
      <t xml:space="preserve">Объем финансирования за счет бюджета МО 
по КОМПЛЕКСНОМУ ПЛАНУ, 
тыс. рублей
</t>
    </r>
    <r>
      <rPr>
        <u/>
        <sz val="18"/>
        <rFont val="Times New Roman"/>
        <family val="1"/>
        <charset val="204"/>
      </rPr>
      <t>2024 год</t>
    </r>
  </si>
  <si>
    <t>Примечания</t>
  </si>
  <si>
    <t>Включено в решения о местных бюджетах (СБР) на 2024 год 
ВСЕГО</t>
  </si>
  <si>
    <t>Разработка 2 проектов ликвидации ОНВОС, расположенных в с. Хатанга, получение положительных заключений государственной экологической экспертизы</t>
  </si>
  <si>
    <t>Соф-ние предусмотрено решением о районном бюджете</t>
  </si>
  <si>
    <t xml:space="preserve">Разработка ПСД на отдельные виды ремонтов . МК заключены в 2023, но неисполнены. Исполнение в 2024 за счет остатков. Внесены изменения в СБР 29.01.24 </t>
  </si>
  <si>
    <t>Решением о районном бюджете предусмотрены расходы на 2024 год 25 797,41 т.р., на 2025 - 29 365,19 т.р. БАЗА УРИ.</t>
  </si>
  <si>
    <t>БАЗА УО. Расходы предусмотрены решением о районном бюджете.</t>
  </si>
  <si>
    <t>28 736,4- по МК расходы 2024 года - предусмотрены решением о районном бюджете БАЗА УРИ; 8 000,0-остатки от расходов 2023, которые будут оплачены в 2024 - внесены изменения в СБР 29.01.24</t>
  </si>
  <si>
    <t>Зконом о краевом бюджете расходы предусмотрены на 2024-2025 года в сумме 260,0 млн. руб. Расходы краевого УКС.</t>
  </si>
  <si>
    <t>Зконом о краевом бюджете расходы предусмотрены на 2025-2026 года в сумме 250,0 млн. руб. Расходы краевого УКС.</t>
  </si>
  <si>
    <t>Принято бюджетных обязательств по мероприятию (заключено  контрактов (договоров),
тыс. руб.</t>
  </si>
  <si>
    <t>Исполнено на отчетную дату,
тыс. руб.</t>
  </si>
  <si>
    <t>Стадия, срок проведения конкурсов, аукционов, запросов котировок, предложений, заключения муниципальных контрактов (договоров, соглашений).
Реквизиты контракта (договора, соглашения), наименование поставщика (подрядчика), сумма контракта.</t>
  </si>
  <si>
    <t>Ремонт сетей электроснабжения (сооружений электроэнергетики) в с. Хатанга - СМР</t>
  </si>
  <si>
    <t>Капитальный ремонт здания ТМКОУ "Хатангская средняя школа № 1" с. Хатанга</t>
  </si>
  <si>
    <t>Разработка ПСД и проведение ремонта ОКН "Братская могила десяти советско-партийных работников, погибших во время вражеской диверсии в 1932 году" (с. Хатанга, ул. Советская, 25)</t>
  </si>
  <si>
    <t>тыс. руб.</t>
  </si>
  <si>
    <t>Берегоукрепление р. Хатанга в с. Хатанга - разработка ПСД</t>
  </si>
  <si>
    <t>Ремонт здания отдела образовательных учреждений с. Хатанга</t>
  </si>
  <si>
    <t>хат</t>
  </si>
  <si>
    <t>Оборудование населенных пунктов безопасными причальными сооружениями</t>
  </si>
  <si>
    <t xml:space="preserve">Организация предоставления услуг сотовой связи в населенных пунктах сельского поселения Хатанга </t>
  </si>
  <si>
    <t>ури</t>
  </si>
  <si>
    <t>уо</t>
  </si>
  <si>
    <t>адм</t>
  </si>
  <si>
    <t>прочие</t>
  </si>
  <si>
    <t>бюджет МО
(В-т 1 - свободные остатки на нач.года;
В-т 2 - бюджетный кредит;
В-т 3 - уточнение порядка отбора (КБ))</t>
  </si>
  <si>
    <r>
      <t xml:space="preserve">мероприятия 2023 года, </t>
    </r>
    <r>
      <rPr>
        <b/>
        <u/>
        <sz val="12"/>
        <rFont val="Times New Roman"/>
        <family val="1"/>
        <charset val="204"/>
      </rPr>
      <t xml:space="preserve">неиспол-е в 2023 году </t>
    </r>
  </si>
  <si>
    <r>
      <t xml:space="preserve">мероприятия 2023 года, </t>
    </r>
    <r>
      <rPr>
        <b/>
        <u/>
        <sz val="12"/>
        <rFont val="Times New Roman"/>
        <family val="1"/>
        <charset val="204"/>
      </rPr>
      <t>необеспеч фин-нием в 2023</t>
    </r>
    <r>
      <rPr>
        <b/>
        <sz val="12"/>
        <rFont val="Times New Roman"/>
        <family val="1"/>
        <charset val="204"/>
      </rPr>
      <t xml:space="preserve"> году </t>
    </r>
  </si>
  <si>
    <t>мероприятия, подлежащие исполнению по КП в 2024 года</t>
  </si>
  <si>
    <t>Отсутствие механизма реализации мероприятия и источника финансирования на 2024г.</t>
  </si>
  <si>
    <t>Исполнение мероприятия не представляется возможным ввиду отсутствия ПСД.</t>
  </si>
  <si>
    <t>По с. Хатанга</t>
  </si>
  <si>
    <t>По населенным пунктам с.п. Хатанга</t>
  </si>
  <si>
    <t>Расходы изначально были предусмотрены в решении о бюджете с.п. Хатанга. Изменениями в бюджет в феврале краевые средства сняты.
Министерством  цифрового развития ведется работа по приведению в соответствие порядка предоставления субсидии в 2024 году. По предварительной информации субсидия будет предоставляться муниципальному району</t>
  </si>
  <si>
    <t>Включено в бюджет сп Хатанга  за счет остатков.</t>
  </si>
  <si>
    <t>у+41:47ри</t>
  </si>
  <si>
    <t>В 2023 году аукционы не состоялись.
Бюджетом сп Хатанга на 2024 год предусмотрены средства на выполнение капитального ремонта улично-дорожной сети, в соответствии с разработанной ПСД. 
Реализация мероприятия целесообразно выполнять после капитального ремонта улично-дорожной сети .</t>
  </si>
  <si>
    <r>
      <t>Переходящий муниципальный контракт № А281123  от 04.12.2023 на предмет:" Проведение изыскательских работ и разработка проектно-сметной и рабочей документации на берегоукрепление участка набережной реки Хатанга в селе Хатанга Таймырского Долгано-Ненецкого муниципального района Красноярского края протяженностью 878 м" с ООО "Геостройтех" на сумму</t>
    </r>
    <r>
      <rPr>
        <b/>
        <u/>
        <sz val="14"/>
        <color rgb="FF0000FF"/>
        <rFont val="Times New Roman"/>
        <family val="1"/>
        <charset val="204"/>
      </rPr>
      <t xml:space="preserve"> 9 694 228,48 </t>
    </r>
    <r>
      <rPr>
        <sz val="14"/>
        <color theme="1"/>
        <rFont val="Times New Roman"/>
        <family val="1"/>
        <charset val="204"/>
      </rPr>
      <t xml:space="preserve">руб. </t>
    </r>
    <r>
      <rPr>
        <b/>
        <u/>
        <sz val="14"/>
        <color theme="1"/>
        <rFont val="Times New Roman"/>
        <family val="1"/>
        <charset val="204"/>
      </rPr>
      <t>со сроком исполнения 15.12.2024</t>
    </r>
  </si>
  <si>
    <r>
      <t xml:space="preserve">Заключен МК №230523 от 05.06.2023г. на сумму </t>
    </r>
    <r>
      <rPr>
        <b/>
        <u/>
        <sz val="14"/>
        <color rgb="FF0000FF"/>
        <rFont val="Times New Roman"/>
        <family val="1"/>
        <charset val="204"/>
      </rPr>
      <t>3 193,67 т.р.</t>
    </r>
    <r>
      <rPr>
        <sz val="14"/>
        <color theme="1"/>
        <rFont val="Times New Roman"/>
        <family val="1"/>
        <charset val="204"/>
      </rPr>
      <t xml:space="preserve"> Окончание работ: до 20 декабря 2023 года. Прохождение экспертизы ПСД. </t>
    </r>
  </si>
  <si>
    <t>В 2023 должно было быть разработано ПСД на благоустройство набережной; средства были выделены Хатанге из районного бюджета, но перераспределены на п. 1.9. Благоустройство набережной целесообразно проводить после берегоукрепления.</t>
  </si>
  <si>
    <t>Мероприятие 2023 года. Не было реализовано ввиду несостоявшихся конкурсных процедур. Краевые средства доведены на 2024 год, предусмотрены решением о бюджете с.п. Хатанга.
200,00 т.р. - на корректировку ПСД - за счет остатков.</t>
  </si>
  <si>
    <t>ДОПЫ  на 2024 год</t>
  </si>
  <si>
    <r>
      <t xml:space="preserve">1. Через АГЗ Красноярского края заключен МК №А160823 от 21.08.2023 "Выполнение работ по разработке проектной и рабочей документации на капитальный ремонт автомобильных дорог общего пользования местного значения в с. Хатанга, в рамках исполнения мероприятий подпрограммы «Дороги Красноярья» государственной программы Красноярского края «Развитие транспортной системы» (утв. Постановлением Правительства Красноярского края от 30.09.2013 № 510-п)" </t>
    </r>
    <r>
      <rPr>
        <b/>
        <u/>
        <sz val="14"/>
        <color rgb="FF0000FF"/>
        <rFont val="Times New Roman"/>
        <family val="1"/>
        <charset val="204"/>
      </rPr>
      <t>на сумму 22 433,33 т.р.</t>
    </r>
    <r>
      <rPr>
        <sz val="14"/>
        <color theme="1"/>
        <rFont val="Times New Roman"/>
        <family val="1"/>
        <charset val="204"/>
      </rPr>
      <t xml:space="preserve"> ООО "Проектная компания Лидергрупп" Срок исполнения 20.12.2023. В краевой экспертизе получили замечания. 02.02.2024 года получено положительное заключение государственной экспертизы по проверке достоверности определения сметной стоимости.  Оплачен 22.02.2024 года.</t>
    </r>
  </si>
  <si>
    <t>В 2023 году ООО ЭКЦ "Техэкспертиза" подготовлены проектные и изыскательские работы по комплексному обследованию технического состояния строительных конструкций многоквартирных жилых домов, расположенных в с. Хатанга Таймырского Долгано-Ненецкого муниципального района Красноярского края. Отсутствие источника финансирования на 2024г. (внебюджетные средства)</t>
  </si>
  <si>
    <t>Заключен МК№ 230523 от 05.06.2023 года на предмет: "Выполнение работ по разработке проектно-сметной документации на капитальный ремонт Дома культуры с. Хатанга МБУК "КДК" с ООО "ПРОФСИТИГРУПП" на сумму - 3 193 166,13  руб. Срок действия контракта до 20.12.2023 года. 
Подрядчик проходит процедуру проверки соответствия проектно-сметной стоимости проведения капитального ремонта нормативам в области сметного нормирования и ценообразования и принятым проектным решениям в Красноярской краевой государственной экспертизе
Подача заявки в краевую программу после получения ПСД на капремонт здания ДК</t>
  </si>
  <si>
    <t>ДОПЫ на 2024 год</t>
  </si>
  <si>
    <t xml:space="preserve">Благоустройство общественных пространств - СМР
</t>
  </si>
  <si>
    <t xml:space="preserve">ДОПЫ  на 2024 год
</t>
  </si>
  <si>
    <r>
      <t xml:space="preserve">     В министерство строительства Красноярского края Администрацией с.п. 
Хатанга направлен запрос от 13.10.2023 № 2012/1 о ходе реализации исполнения данного пункта. Ответ в настоящее время не поступил.
    В 2024 году в Фонд капитального ремонта Красноярского края направлялась стоимость доставки морским транспортом строительных материалов.
     В бюджете сельского поселения Хатанга не предусмотрены средства на реализацию данного мероприятия  2024г. (</t>
    </r>
    <r>
      <rPr>
        <b/>
        <sz val="14"/>
        <color theme="1"/>
        <rFont val="Times New Roman"/>
        <family val="1"/>
        <charset val="204"/>
      </rPr>
      <t>внебюджетные средства</t>
    </r>
    <r>
      <rPr>
        <sz val="14"/>
        <color theme="1"/>
        <rFont val="Times New Roman"/>
        <family val="1"/>
        <charset val="204"/>
      </rPr>
      <t>)</t>
    </r>
  </si>
  <si>
    <r>
      <t xml:space="preserve">  Заключен МК №А080324 от 11.03.2024 года на предмет:  "Приобретение дизельных электростанций контейнерного типа с санями" с ООО "МЕГАВАТТ" на сумму -  </t>
    </r>
    <r>
      <rPr>
        <b/>
        <u/>
        <sz val="14"/>
        <color rgb="FF0000FF"/>
        <rFont val="Times New Roman"/>
        <family val="1"/>
        <charset val="204"/>
      </rPr>
      <t>15 000,00 тыс. руб</t>
    </r>
    <r>
      <rPr>
        <sz val="14"/>
        <color theme="1"/>
        <rFont val="Times New Roman"/>
        <family val="1"/>
        <charset val="204"/>
      </rPr>
      <t>. Срок действия контракта  15.11.2024 год.</t>
    </r>
  </si>
  <si>
    <t>Ремонт сетей электроснабжения (сооружений электроэнергетики) в с. Хатанга - разработка ПСД</t>
  </si>
  <si>
    <t>Выполнение мероприятия нецелесообразно ввиду отсутствия ПСД. 
В 2024 году данное мероприятие Администрацией ТДНМР не поддержано.</t>
  </si>
  <si>
    <r>
      <t xml:space="preserve">МК № А040124 от 01.02.2024 на предмет: "Разработка рабочей документации на благоустройство тротуаров в селе Хатанга Таймырского Долгано-Ненецкого муниципального района Красноярского края" с ООО «ПК ЛидерГрупп» на сумму -
</t>
    </r>
    <r>
      <rPr>
        <b/>
        <u/>
        <sz val="14"/>
        <color rgb="FF0000FF"/>
        <rFont val="Times New Roman"/>
        <family val="1"/>
        <charset val="204"/>
      </rPr>
      <t xml:space="preserve"> 1 600,00 тыс. руб.</t>
    </r>
    <r>
      <rPr>
        <sz val="14"/>
        <color theme="1"/>
        <rFont val="Times New Roman"/>
        <family val="1"/>
        <charset val="204"/>
      </rPr>
      <t xml:space="preserve"> </t>
    </r>
  </si>
  <si>
    <r>
      <t xml:space="preserve">МК № 52/23-ПСД от 18.08.2023 года на предмет: "Выполнить работы по разработке проектно-сметной документации с прохождением государственной экспертизы по капитальному ремонту строительных конструкций и инженерных сетей здания МБУК «КДК», расположенного по адресу: с. Хатанга, ул. Ангарская, д. 8" с ООО "ЭКОТЭР" на сумму -
</t>
    </r>
    <r>
      <rPr>
        <b/>
        <u/>
        <sz val="14"/>
        <color rgb="FF0000FF"/>
        <rFont val="Times New Roman"/>
        <family val="1"/>
        <charset val="204"/>
      </rPr>
      <t xml:space="preserve"> 2 196,99 тыс. руб.</t>
    </r>
    <r>
      <rPr>
        <sz val="14"/>
        <color theme="1"/>
        <rFont val="Times New Roman"/>
        <family val="1"/>
        <charset val="204"/>
      </rPr>
      <t xml:space="preserve"> </t>
    </r>
  </si>
  <si>
    <r>
      <t xml:space="preserve">МК № 140324 от 25.03.2024 года на предмет: "Выполнение работ по утеплению чердачного перекрытия здания сельского дома культуры п. Новая МБУК «КДК»" с ИП Кудрявцев Е.С. на сумму - </t>
    </r>
    <r>
      <rPr>
        <b/>
        <sz val="14"/>
        <color rgb="FF0000FF"/>
        <rFont val="Times New Roman"/>
        <family val="1"/>
        <charset val="204"/>
      </rPr>
      <t xml:space="preserve">2 488 593,12 руб. </t>
    </r>
    <r>
      <rPr>
        <sz val="14"/>
        <color theme="1"/>
        <rFont val="Times New Roman"/>
        <family val="1"/>
        <charset val="204"/>
      </rPr>
      <t xml:space="preserve">Срок выполненитя работ до 30.11.2024 года. 
МК № 130324 от 25.03.2024 года на предмет: "Текущий ремонт в СДК п. Новорыбная МБУК "КДК" с ИП Кудрявцев Е.С. на сумму - </t>
    </r>
    <r>
      <rPr>
        <b/>
        <sz val="14"/>
        <color rgb="FF0000FF"/>
        <rFont val="Times New Roman"/>
        <family val="1"/>
        <charset val="204"/>
      </rPr>
      <t>8 225 406,96 руб</t>
    </r>
    <r>
      <rPr>
        <sz val="14"/>
        <color theme="1"/>
        <rFont val="Times New Roman"/>
        <family val="1"/>
        <charset val="204"/>
      </rPr>
      <t>. Срок выполнения контракта до 30.11.2024 года.</t>
    </r>
  </si>
  <si>
    <t>Между администрацией СП Хатанга и Министерством строительства и ЖКХ Красноярского края. Подписанно Соглашение о предоставлении субсидии местному бюджету из краевого бюджета на 2024-2025 годы № 5-М5 от 02.02.2024 года. 
Общий обьем бюджетныйх ассигнований, предусмотренных в бюджете СП Хатанга составляет:
в 2024 году - 101 010 101,01 руб.;
в 2025 году - 101 010 101,01 руб., в том числе: средства субсидии из краевого бюджета составляют: 
в 2024 году - 100 000 000,00 руб.;
в 2025 году - 100 000 000,00 руб.
Софинансирование в 2024 году предусмотрено в бюджет сп Хатанга  за счет остатков.</t>
  </si>
  <si>
    <t>Заявка на конкурсный отбор подана в агентство по туризму в установленные сроки. Планировалось получение субсидии по Постанов 150 П, но 18.12.2023 году внесли изменения, исключающие возможность участия в конкурсе поселений. Получив отказ заявки была перенаправлена в район для их участия в конкурсе.</t>
  </si>
  <si>
    <t xml:space="preserve">  В 2023 году Администрация сельского поселения Хатанга  намеривалась подать заявку на участи в конкурсе на выделение средств из Краевого бюджета на приобретение специальной техники для содержания улично-дорожной сети. 
  В разгаворе с представителем Агентства по развитию северов была доведена информация об отсутствии механизма по реализации данного мероприятия. 
Направлено письмо в Администрацию ТДНМР на приобретение автогрейдера на 2024 год, но данное мероприятие районом не поддержано.</t>
  </si>
  <si>
    <t>СРЕДСТВА В ОСТАТКАХ АУБУ СП ХАТАНГА
Подрядчик проходит процедуру проверки соответствия проектно-сметной стоимости проведения капитального ремонта нормативам в области сметного нормирования и ценообразования и принятым проектным решениям в Красноярской краевой государственной экспертизе (Заявление № 2023/12/23 - 00052).  Предлагаемая сметная стоимость капитального ремонта  393 596,85 тыс. руб.</t>
  </si>
  <si>
    <t>Выполнение работ нецелесообразно ввиду того, что принято решение продажи.</t>
  </si>
  <si>
    <t xml:space="preserve">1 600,00 тыс. руб. - разработка рабочей документации на благоустройство тротуаров. По рекомендации Министерства строительства и ЖКХ Красноярского края в бюджете СП Хатанга на 2023 год были предусмотрены средства на "Разработку рабочей документации на благоустройство тротуаров в селе Хатанга" </t>
  </si>
  <si>
    <t>ООО "Проектная компания Лидергрупп" зашел на прохождение экспертизы ПСД с затратами на проведение работ капитального ремонта автомобильных дорог общего пользования местного значения в с. Хатанга общей протяженностью 5,5 км, в сумме 412, 96 млн. рублей.
По экспертному заключению (№24-1-1-2-003895-2024 от 02.02.2024г.) на капитальный ремонт дорог, протяженностью 5,5 км, стоимость капитального ремонта в текущих ценах (3 квартал 2023 г.) с учетом НДС 20%, составляет 263,079 млн. руб.
Ведется переписка с Сибирским филиалом  ФАУ "Главное управление государственной экспертизы" о рассмотрении возможности пересмотра ПСД с учетом изменения расхода на транспортную доставку материалов в с. Хатанга, т.к. произошло занижение суммы проведения работ по капитальному ремонту дорог на сумму 149,88 млн. руб.
  Администрацией СП Хатанга в Министерство Транспорта Красноярского края направлено письмо исх. № 0581 от 21.03.2024 года с просьбой о рассмотрении возможность  перераспределения иным бюджетам Красноярского края, выделенных бюджетных ассигнований краевого бюджета на исполнение капитального ремонта дорог в с. Хатанга. Ответ мы так и не получили.</t>
  </si>
  <si>
    <t xml:space="preserve">в 2023 году был заключен МК № 63-ВР от 28.09.2023 года на предмет: "Выполнение работ по обследованию технического состояния строительных конструкций нежилого здания сельского Дома культуры в п. Кресты МБУК "КДК"" с ООО "ГлавПроект" на сумму - 498,00 тыс. руб. Получено заключение.
Заключение отправлено в Министерство культуры Красноярского края, которое в свою очередь было перенаправлено в Управление капитального строительства Красноярского края.
Ожидаем информацию из Управления капитального строительства Красноярского края о принятом решении: проводим реконструкцию, ремонт или строительство.   </t>
  </si>
  <si>
    <r>
      <t xml:space="preserve">   По информации Администрации с.п. Хатанга заключено 3-х стороннее соглашение на разработку ПСД на строительство ДК (Благотворительный фонд (НН), Администрация сп Хатанга, подрядчик  ООО Проектис). В настоящее время ПСД направлено на госэкспертизу. 
    В связи с необходимостью устранения замечаний и продления сроков прохождения государственной экспертизы заключено дополнительное соглашение к договору с продлением срока его действия до 15.04.2024 года.
  В бюджете сельского поселения Хатанга не предусмотрены средства на реализацию данного мероприятия  2024г. (</t>
    </r>
    <r>
      <rPr>
        <b/>
        <sz val="14"/>
        <color theme="1"/>
        <rFont val="Times New Roman"/>
        <family val="1"/>
        <charset val="204"/>
      </rPr>
      <t>внебюджетные средства</t>
    </r>
    <r>
      <rPr>
        <sz val="14"/>
        <color theme="1"/>
        <rFont val="Times New Roman"/>
        <family val="1"/>
        <charset val="204"/>
      </rPr>
      <t>)</t>
    </r>
  </si>
  <si>
    <t xml:space="preserve">В 2023 году уведомление доведено в апреле, аукцион опубликовывался дважды, но закупка не состоялась. Основной причиной явилось отсутствие у заводов- производителей готовых осветительных опор для электрических сетей, а производство осуществляется 3-4 месяца, что делает не возможным доставку в навигацию. В связи с чем, освоение бюджетных средств в 2023 г. не представлялось возможным.
Бюджетные ассигнования уменьшены на основании уведомления Министерства Транспорта Красноярского края №36777 от 22.09.2023
На 2024 год Администрацией поселения была подана заявка научастие на конкурс, но не прошла конкурсный отбор в связи с низким рейтингом.
   21.05.2024 года поступила информация о намерении Министерства транспорта Красноярского края о выделении средств бюджету сельского поселения Хатанга в размере 14 428,79 тыс. руб. Направлены в адрес министерства запрошенные ими документы. </t>
  </si>
  <si>
    <r>
      <t xml:space="preserve">   1. Переходящий МК № 111-11/23 на "Выполнение работ по корректировке имеющийся проектно-сметной документации на ремонтно-восстановительные работы объекта культурного наследия регионального значения «Братская могила десяти советско-партийных работников, погибших во время вражеской диверсии в 1932 году», расположенного по адресу: с. Хатанга, в районе берега р. Хатанга, у дома по ул. Советская, 25  с ООО «ПСК «ПроектСтройСервис»,  на сумму </t>
    </r>
    <r>
      <rPr>
        <b/>
        <u/>
        <sz val="14"/>
        <color rgb="FF0000FF"/>
        <rFont val="Times New Roman"/>
        <family val="1"/>
        <charset val="204"/>
      </rPr>
      <t>200,00 тыс. руб</t>
    </r>
    <r>
      <rPr>
        <sz val="14"/>
        <color theme="1"/>
        <rFont val="Times New Roman"/>
        <family val="1"/>
        <charset val="204"/>
      </rPr>
      <t xml:space="preserve">. Срок действия контракта до 31.01.2024 года.
 2. МК №А140424 от 02.05.2024 года, на предмет: "Проведение капитального ремонта по сохранению объекта культурного наследия регионального значения «Братская могила десяти советско - партийных работников, погибших во время вражеской диверсии в 1932 году», расположенного по адресу: Красноярский край, Таймырский Долгано-Ненецкий муниципальный район, с. Хатанга, в районе берега р. Хатанга у дома по ул. Советская, д. 25." с ООО «СОВРЕМЕННЫЕ ТЕХНИЧЕСКИЕ СИСТЕМЫ БЕЗОПАСНОСТИ - СЕРВИС» на сумму - </t>
    </r>
    <r>
      <rPr>
        <b/>
        <sz val="14"/>
        <color rgb="FF0000FF"/>
        <rFont val="Times New Roman"/>
        <family val="1"/>
        <charset val="204"/>
      </rPr>
      <t>10 499 795,57 руб.</t>
    </r>
    <r>
      <rPr>
        <sz val="14"/>
        <color theme="1"/>
        <rFont val="Times New Roman"/>
        <family val="1"/>
        <charset val="204"/>
      </rPr>
      <t xml:space="preserve"> срок действия контракта до 15.11.2024 года.
   3. МК №Е150524 от 05.06.2024 г. на предмет закупки: "Авторский надзор за производством ремонтно-реставрационных работ и составления научно-реставрационного отчета  по сохранению объекта культурного наследия регионального значения «Братская могила десяти советско - партийных работников, погибших во время вражеской диверсии в 1932 году», расположенного по адресу: Красноярский край, Таймырский Долгано-Ненецкий муниципальный район, с. Хатанга, в районе берега р. Хатанга у дома по ул. Советская, д. 25" с ООО ПСК"Проект Стройсервис" на сумму - </t>
    </r>
    <r>
      <rPr>
        <b/>
        <sz val="14"/>
        <color rgb="FF0000FF"/>
        <rFont val="Times New Roman"/>
        <family val="1"/>
        <charset val="204"/>
      </rPr>
      <t>662 034,43 руб.</t>
    </r>
    <r>
      <rPr>
        <sz val="14"/>
        <color theme="1"/>
        <rFont val="Times New Roman"/>
        <family val="1"/>
        <charset val="204"/>
      </rPr>
      <t>, срок действия контракта до 31.12.2024 года</t>
    </r>
  </si>
  <si>
    <r>
      <t xml:space="preserve">1. МК №54-04/28 от 24.04.2024 года, на предмет: "Выполнение работ по корректировке сметной документации для  проведения капитального ремонта фасада нежилого административного  здания, расположенного по адресу: Красноярский край, Таймырский Долгано-Ненецкий муниципальный район, с. Хатанга, ул. Советская, 23 А." с ООО "Глав Проект" на сумму - </t>
    </r>
    <r>
      <rPr>
        <b/>
        <sz val="14"/>
        <color rgb="FF0000FF"/>
        <rFont val="Times New Roman"/>
        <family val="1"/>
        <charset val="204"/>
      </rPr>
      <t>15 000,00 руб</t>
    </r>
    <r>
      <rPr>
        <sz val="14"/>
        <color theme="1"/>
        <rFont val="Times New Roman"/>
        <family val="1"/>
        <charset val="204"/>
      </rPr>
      <t xml:space="preserve">. Срок действия контракта до 31.05.2024 года.
  Извещение № 0119300012124000017  размещено на электронной площадке13.05.2024 года на капитальный ремонт фасада здания Администрации сельского поселения Хатанга в рамках проведения мероприятий комплексного плана, связанных с выполнением плана первоочередных мероприятий по улучшению среды проживания и повышения качества жизни в населенных пунктах муниципального образования "Сельское поселение Хатанга". Начальная цена контракта - </t>
    </r>
    <r>
      <rPr>
        <b/>
        <sz val="14"/>
        <color rgb="FF0000FF"/>
        <rFont val="Times New Roman"/>
        <family val="1"/>
        <charset val="204"/>
      </rPr>
      <t>13 579 372,00 руб.</t>
    </r>
    <r>
      <rPr>
        <sz val="14"/>
        <color theme="1"/>
        <rFont val="Times New Roman"/>
        <family val="1"/>
        <charset val="204"/>
      </rPr>
      <t xml:space="preserve"> Прием заявок до 21.05.2024 года. Торги признаны не состоявщимися, по причине отсутствия заявок от потенциальных подрядчиков.
   Повторное размещение документации на электронной площадке планируется в июле 2024 года.</t>
    </r>
  </si>
  <si>
    <t>В 2023 году за счет средств краевой субсидии заключен МК на разработку ПСД. В 2023 году  выплачен аванс. МК 2-х годичный 2023-2024. - разработка ПСД. В 2024 году госэкспертиза и окончательная оплата. В 2024 году на окончательную оплату МК на разработку ПСД предусмотрено 2 546,99 тр (2 537,14 край и 9,85 Хатанга). 
Получено Положительное заключение государственной экспертизы № 24-1-1-2-025654-2024 от 27.05.2024 года, выданное КГАУ "Красноярской краевой государственной экспертизой".</t>
  </si>
  <si>
    <t>ДОПЫ  на 2024 год.
В 2023 году сети электроснабжения, находящиеся в поселках СП были приняты в состав имущество казны и произведена рыночная стоимость оценки линии электропередач. В настоящее время указанный объект включен в программу приватизации и планируется к продаже (Потенциальный покупатель ООО ТАТ)
В бюджете СП Хатанга на 2024 год предусмотрена сумма на Ремонт сетей электроснабжения (сооружений электроэнергетики)
в населенных пунктах с.п. Хатанга - разработка ПСД.
Уменьшение бюджетных ассигнований на сумму 2 489,89 тыс. руб. на реализацию мероприятия "Проведение дополнительных выборов депутатов Хатангского сельского Совета депутатов пятого созыва по Хатангскому одномандатному избирательному округу №5", согласно письма Администрации ТДНМР от 27.06.2024 года исх. № 3836.</t>
  </si>
  <si>
    <t xml:space="preserve">Согласно плана-графика закупок товаров, работ, услуг  проведение электронного аукциона запланировано на июль 2024 года. </t>
  </si>
  <si>
    <t>ЕЖЕНЕДЕЛЬНАЯ ИНФОРМАЦИЯ ОБ ИСПОЛНЕНИИ
 мероприятий Комплексного плана по социально-экономическому развитию сельского поселения Хатанга Таймырского Долгано-Ненецкого муниципального района Красноярского края
по состоянию на 01.07.2024 года</t>
  </si>
  <si>
    <r>
      <t xml:space="preserve">   МК № А090324 от 13.03.2024 года на предмет: "Выполнение работ по благоустройству общественных территорий села Хатанга, при реализации мероприятий по благоустройству территорий в рамках регионального проекта «Формирование комфортной городской среды» государственной программы Красноярского края «Содействия органам местного самоуправления в формировании современной городской среды» с ООО "ЕДИНСТВО-ЮГ" на сумму - </t>
    </r>
    <r>
      <rPr>
        <b/>
        <u/>
        <sz val="14"/>
        <color rgb="FF0000FF"/>
        <rFont val="Times New Roman"/>
        <family val="1"/>
        <charset val="204"/>
      </rPr>
      <t>180 988 814,20 руб.</t>
    </r>
    <r>
      <rPr>
        <u/>
        <sz val="14"/>
        <rFont val="Times New Roman"/>
        <family val="1"/>
        <charset val="204"/>
      </rPr>
      <t xml:space="preserve">, в том числе 
</t>
    </r>
    <r>
      <rPr>
        <b/>
        <u/>
        <sz val="14"/>
        <color rgb="FF0000FF"/>
        <rFont val="Times New Roman"/>
        <family val="1"/>
        <charset val="204"/>
      </rPr>
      <t xml:space="preserve">2024 год - 90 500 000,00 руб.: край - 89 595 000,00 руб, мес.бюдж.- 905 000,00 руб; 
2025 год - 90 488 814,20 руб.: край -89 583 926,06 руб., мес.бюдж. - 904 888,14 руб. 
</t>
    </r>
    <r>
      <rPr>
        <b/>
        <sz val="14"/>
        <color rgb="FF0000FF"/>
        <rFont val="Times New Roman"/>
        <family val="1"/>
        <charset val="204"/>
      </rPr>
      <t xml:space="preserve">    </t>
    </r>
    <r>
      <rPr>
        <sz val="14"/>
        <color theme="1"/>
        <rFont val="Times New Roman"/>
        <family val="1"/>
        <charset val="204"/>
      </rPr>
      <t xml:space="preserve">Срок действия контракта до 31.12.2025 года.
   МК № А170624 от 05.06.2024 г. на предмет закупки: "Выполнение работ по благоустройству общественных территорий села Хатанга, при реализации мероприятий по благоустройству территорий в рамках регионального проекта «Формирование комфортной городской среды» государственной программы Красноярского края «Содействия органам местного самоуправления в формировании современной городской среды» (Участок с кадастровым номером 84:05:0020205: 2530)" с ООО "Единство-Юг" на сумму - </t>
    </r>
    <r>
      <rPr>
        <b/>
        <sz val="14"/>
        <color rgb="FF0000FF"/>
        <rFont val="Times New Roman"/>
        <family val="1"/>
        <charset val="204"/>
      </rPr>
      <t xml:space="preserve">18 098 881,41 руб.  </t>
    </r>
    <r>
      <rPr>
        <sz val="14"/>
        <color theme="1"/>
        <rFont val="Times New Roman"/>
        <family val="1"/>
        <charset val="204"/>
      </rPr>
      <t xml:space="preserve">в том числе:
</t>
    </r>
    <r>
      <rPr>
        <b/>
        <u/>
        <sz val="14"/>
        <color rgb="FF0000FF"/>
        <rFont val="Times New Roman"/>
        <family val="1"/>
        <charset val="204"/>
      </rPr>
      <t xml:space="preserve">2024 год - 9 050 000,00 руб.: край - 8 959 500,00 руб., мес. бюдж. - 90 500,00 руб;
2025 год - 9 048 881,41 руб.: край - 8 958 392,60 руб., мес. бюдж. - 90 488,81 руб. </t>
    </r>
    <r>
      <rPr>
        <sz val="14"/>
        <color theme="1"/>
        <rFont val="Times New Roman"/>
        <family val="1"/>
        <charset val="204"/>
      </rPr>
      <t xml:space="preserve">
</t>
    </r>
    <r>
      <rPr>
        <b/>
        <sz val="14"/>
        <color rgb="FF0000FF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Срок действия контракта до 01.11.2025 год.</t>
    </r>
    <r>
      <rPr>
        <sz val="14"/>
        <color theme="1"/>
        <rFont val="Times New Roman"/>
        <family val="1"/>
        <charset val="204"/>
      </rPr>
      <t xml:space="preserve">
  МК № А160624 от 05.06.2024 г. на предмет закупки: "Приобретение и монтаж металлического арт-объекта по индивидуальному макету на территории села Хатанга в рамках регионального проекта «Формирование комфортной городской среды» государственной программы Красноярского края «Содействия органам местного самоуправления в формировании современной городской среды» с ООО "Игоник" на  -</t>
    </r>
    <r>
      <rPr>
        <b/>
        <sz val="14"/>
        <color rgb="FF0000FF"/>
        <rFont val="Times New Roman"/>
        <family val="1"/>
        <charset val="204"/>
      </rPr>
      <t xml:space="preserve"> 2 214 042,40 руб.</t>
    </r>
    <r>
      <rPr>
        <sz val="14"/>
        <color theme="1"/>
        <rFont val="Times New Roman"/>
        <family val="1"/>
        <charset val="204"/>
      </rPr>
      <t xml:space="preserve">
</t>
    </r>
    <r>
      <rPr>
        <b/>
        <u/>
        <sz val="14"/>
        <color rgb="FF0000FF"/>
        <rFont val="Times New Roman"/>
        <family val="1"/>
        <charset val="204"/>
      </rPr>
      <t>2024 год - 1 107 021,20 руб.: край - 1 095 950,99 руб., мес. бюдж. - 11 070,21 руб.;
2025 год - 1 107 021,20 руб.: край - 1 095 950,99 руб., мес. бюдж. - 11 070,21 руб.</t>
    </r>
    <r>
      <rPr>
        <b/>
        <sz val="14"/>
        <color rgb="FF0000FF"/>
        <rFont val="Times New Roman"/>
        <family val="1"/>
        <charset val="204"/>
      </rPr>
      <t xml:space="preserve">
</t>
    </r>
    <r>
      <rPr>
        <sz val="14"/>
        <color theme="1"/>
        <rFont val="Times New Roman"/>
        <family val="1"/>
        <charset val="204"/>
      </rPr>
      <t xml:space="preserve"> Срок действия контракта до 01.11.2025 год. По данному контракту началась процедура расторжения контракта. Не выходят на связь, не предоставляют промежуточную информацию о проделанной работе.  </t>
    </r>
  </si>
  <si>
    <t>Согласно плана-графика закупок товаров, работ, услуг  проведение электронного аукциона запланировано на июль 2024 года.</t>
  </si>
  <si>
    <t xml:space="preserve">Запрошены коммерческие предложения по данному виду работ. Готовится техническая документация для обьявления электронных торгов.
Согласно плана-графика закупок товаров, работ, услуг  проведение электронного аукциона запланировано на июль 2024 года.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</si>
</sst>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"/>
    <numFmt numFmtId="165" formatCode="#,##0.00_ ;\-#,##0.00\ "/>
    <numFmt numFmtId="166" formatCode="#,##0.0"/>
  </numFmts>
  <fonts count="5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u/>
      <sz val="1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FFFF0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FF0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rgb="FFFFFF0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4"/>
      <color rgb="FF0000FF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CC0"/>
        <bgColor indexed="64"/>
      </patternFill>
    </fill>
    <fill>
      <patternFill patternType="solid">
        <fgColor rgb="FFADF5B0"/>
        <bgColor indexed="64"/>
      </patternFill>
    </fill>
    <fill>
      <patternFill patternType="solid">
        <fgColor rgb="FFCEE84E"/>
        <bgColor indexed="64"/>
      </patternFill>
    </fill>
    <fill>
      <patternFill patternType="solid">
        <fgColor rgb="FFBCE27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8">
    <xf numFmtId="0" fontId="0" fillId="0" borderId="0" xfId="0"/>
    <xf numFmtId="0" fontId="2" fillId="0" borderId="0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 applyProtection="1">
      <alignment horizontal="center" vertical="top"/>
      <protection hidden="1"/>
    </xf>
    <xf numFmtId="0" fontId="9" fillId="0" borderId="1" xfId="0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Fill="1"/>
    <xf numFmtId="164" fontId="4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top"/>
      <protection hidden="1"/>
    </xf>
    <xf numFmtId="164" fontId="11" fillId="0" borderId="1" xfId="0" applyNumberFormat="1" applyFont="1" applyFill="1" applyBorder="1" applyAlignment="1" applyProtection="1">
      <alignment horizontal="center" vertical="top"/>
      <protection hidden="1"/>
    </xf>
    <xf numFmtId="164" fontId="12" fillId="0" borderId="1" xfId="0" applyNumberFormat="1" applyFont="1" applyFill="1" applyBorder="1" applyAlignment="1" applyProtection="1">
      <alignment horizontal="center" vertical="top"/>
      <protection hidden="1"/>
    </xf>
    <xf numFmtId="164" fontId="11" fillId="0" borderId="1" xfId="0" applyNumberFormat="1" applyFont="1" applyFill="1" applyBorder="1" applyAlignment="1">
      <alignment horizontal="center" vertical="top"/>
    </xf>
    <xf numFmtId="164" fontId="12" fillId="0" borderId="1" xfId="0" applyNumberFormat="1" applyFont="1" applyFill="1" applyBorder="1" applyAlignment="1">
      <alignment horizontal="center" vertical="top"/>
    </xf>
    <xf numFmtId="0" fontId="1" fillId="0" borderId="0" xfId="0" applyFont="1" applyFill="1"/>
    <xf numFmtId="0" fontId="14" fillId="0" borderId="1" xfId="0" applyFont="1" applyFill="1" applyBorder="1"/>
    <xf numFmtId="0" fontId="4" fillId="0" borderId="0" xfId="0" applyFont="1" applyFill="1"/>
    <xf numFmtId="49" fontId="4" fillId="0" borderId="0" xfId="0" applyNumberFormat="1" applyFont="1" applyFill="1"/>
    <xf numFmtId="165" fontId="4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top"/>
    </xf>
    <xf numFmtId="0" fontId="10" fillId="0" borderId="0" xfId="0" applyFont="1" applyFill="1"/>
    <xf numFmtId="0" fontId="14" fillId="0" borderId="0" xfId="0" applyFont="1"/>
    <xf numFmtId="0" fontId="4" fillId="0" borderId="0" xfId="0" applyFont="1"/>
    <xf numFmtId="0" fontId="4" fillId="0" borderId="1" xfId="0" applyFont="1" applyFill="1" applyBorder="1" applyAlignment="1">
      <alignment horizontal="center" vertical="center" wrapText="1"/>
    </xf>
    <xf numFmtId="165" fontId="18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center" vertical="top"/>
    </xf>
    <xf numFmtId="164" fontId="4" fillId="3" borderId="1" xfId="0" applyNumberFormat="1" applyFont="1" applyFill="1" applyBorder="1" applyAlignment="1">
      <alignment horizontal="center" vertical="top" wrapText="1"/>
    </xf>
    <xf numFmtId="164" fontId="12" fillId="2" borderId="1" xfId="0" applyNumberFormat="1" applyFont="1" applyFill="1" applyBorder="1" applyAlignment="1" applyProtection="1">
      <alignment horizontal="center" vertical="top"/>
      <protection hidden="1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4" fillId="0" borderId="0" xfId="0" applyFont="1" applyFill="1"/>
    <xf numFmtId="0" fontId="21" fillId="0" borderId="0" xfId="0" applyFont="1" applyFill="1" applyAlignment="1">
      <alignment vertical="top"/>
    </xf>
    <xf numFmtId="0" fontId="22" fillId="0" borderId="0" xfId="0" applyFont="1" applyFill="1"/>
    <xf numFmtId="0" fontId="23" fillId="0" borderId="0" xfId="0" applyFont="1" applyFill="1"/>
    <xf numFmtId="0" fontId="3" fillId="0" borderId="0" xfId="0" applyFont="1" applyBorder="1" applyAlignment="1">
      <alignment horizontal="center" vertical="center" wrapText="1"/>
    </xf>
    <xf numFmtId="0" fontId="14" fillId="5" borderId="0" xfId="0" applyFont="1" applyFill="1"/>
    <xf numFmtId="0" fontId="0" fillId="5" borderId="0" xfId="0" applyFill="1"/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top"/>
    </xf>
    <xf numFmtId="164" fontId="5" fillId="5" borderId="1" xfId="0" applyNumberFormat="1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top" wrapText="1"/>
    </xf>
    <xf numFmtId="164" fontId="4" fillId="5" borderId="1" xfId="0" applyNumberFormat="1" applyFont="1" applyFill="1" applyBorder="1" applyAlignment="1">
      <alignment horizontal="center" vertical="top"/>
    </xf>
    <xf numFmtId="164" fontId="5" fillId="5" borderId="1" xfId="0" applyNumberFormat="1" applyFont="1" applyFill="1" applyBorder="1" applyAlignment="1" applyProtection="1">
      <alignment horizontal="center" vertical="top"/>
      <protection hidden="1"/>
    </xf>
    <xf numFmtId="164" fontId="4" fillId="5" borderId="1" xfId="0" applyNumberFormat="1" applyFont="1" applyFill="1" applyBorder="1" applyAlignment="1" applyProtection="1">
      <alignment horizontal="center" vertical="top"/>
      <protection hidden="1"/>
    </xf>
    <xf numFmtId="164" fontId="4" fillId="5" borderId="1" xfId="0" applyNumberFormat="1" applyFont="1" applyFill="1" applyBorder="1" applyAlignment="1">
      <alignment horizontal="center" vertical="top" wrapText="1"/>
    </xf>
    <xf numFmtId="164" fontId="11" fillId="5" borderId="1" xfId="0" applyNumberFormat="1" applyFont="1" applyFill="1" applyBorder="1" applyAlignment="1">
      <alignment horizontal="center" vertical="top"/>
    </xf>
    <xf numFmtId="164" fontId="12" fillId="5" borderId="1" xfId="0" applyNumberFormat="1" applyFont="1" applyFill="1" applyBorder="1" applyAlignment="1">
      <alignment horizontal="center" vertical="top"/>
    </xf>
    <xf numFmtId="0" fontId="1" fillId="5" borderId="0" xfId="0" applyFont="1" applyFill="1"/>
    <xf numFmtId="0" fontId="14" fillId="5" borderId="1" xfId="0" applyFont="1" applyFill="1" applyBorder="1"/>
    <xf numFmtId="0" fontId="18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right" vertical="center"/>
    </xf>
    <xf numFmtId="0" fontId="6" fillId="6" borderId="1" xfId="0" applyFont="1" applyFill="1" applyBorder="1" applyAlignment="1">
      <alignment horizontal="center" vertical="top"/>
    </xf>
    <xf numFmtId="164" fontId="5" fillId="6" borderId="1" xfId="0" applyNumberFormat="1" applyFont="1" applyFill="1" applyBorder="1" applyAlignment="1">
      <alignment horizontal="center" vertical="top"/>
    </xf>
    <xf numFmtId="0" fontId="20" fillId="6" borderId="0" xfId="0" applyFont="1" applyFill="1" applyAlignment="1">
      <alignment vertical="top"/>
    </xf>
    <xf numFmtId="0" fontId="7" fillId="6" borderId="0" xfId="0" applyFont="1" applyFill="1" applyAlignment="1">
      <alignment vertical="top"/>
    </xf>
    <xf numFmtId="0" fontId="6" fillId="6" borderId="1" xfId="0" applyFont="1" applyFill="1" applyBorder="1" applyAlignment="1">
      <alignment horizontal="center" vertical="top" wrapText="1"/>
    </xf>
    <xf numFmtId="165" fontId="14" fillId="6" borderId="0" xfId="0" applyNumberFormat="1" applyFont="1" applyFill="1"/>
    <xf numFmtId="0" fontId="14" fillId="6" borderId="0" xfId="0" applyFont="1" applyFill="1"/>
    <xf numFmtId="0" fontId="0" fillId="6" borderId="0" xfId="0" applyFill="1"/>
    <xf numFmtId="164" fontId="5" fillId="6" borderId="1" xfId="0" applyNumberFormat="1" applyFont="1" applyFill="1" applyBorder="1" applyAlignment="1">
      <alignment horizontal="center" vertical="top" wrapText="1"/>
    </xf>
    <xf numFmtId="0" fontId="20" fillId="6" borderId="0" xfId="0" applyFont="1" applyFill="1" applyAlignment="1">
      <alignment vertical="center"/>
    </xf>
    <xf numFmtId="0" fontId="7" fillId="6" borderId="0" xfId="0" applyFont="1" applyFill="1" applyAlignment="1">
      <alignment vertical="center"/>
    </xf>
    <xf numFmtId="165" fontId="23" fillId="6" borderId="0" xfId="0" applyNumberFormat="1" applyFont="1" applyFill="1"/>
    <xf numFmtId="0" fontId="23" fillId="6" borderId="0" xfId="0" applyFont="1" applyFill="1"/>
    <xf numFmtId="0" fontId="1" fillId="6" borderId="0" xfId="0" applyFont="1" applyFill="1"/>
    <xf numFmtId="164" fontId="5" fillId="6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top"/>
    </xf>
    <xf numFmtId="164" fontId="5" fillId="7" borderId="1" xfId="0" applyNumberFormat="1" applyFont="1" applyFill="1" applyBorder="1" applyAlignment="1">
      <alignment horizontal="center" vertical="top"/>
    </xf>
    <xf numFmtId="0" fontId="14" fillId="7" borderId="0" xfId="0" applyFont="1" applyFill="1"/>
    <xf numFmtId="0" fontId="0" fillId="7" borderId="0" xfId="0" applyFill="1"/>
    <xf numFmtId="0" fontId="6" fillId="7" borderId="1" xfId="0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horizontal="center" vertical="top"/>
    </xf>
    <xf numFmtId="164" fontId="5" fillId="8" borderId="1" xfId="0" applyNumberFormat="1" applyFont="1" applyFill="1" applyBorder="1" applyAlignment="1">
      <alignment horizontal="center" vertical="top"/>
    </xf>
    <xf numFmtId="0" fontId="14" fillId="8" borderId="0" xfId="0" applyFont="1" applyFill="1"/>
    <xf numFmtId="0" fontId="0" fillId="8" borderId="0" xfId="0" applyFill="1"/>
    <xf numFmtId="0" fontId="6" fillId="8" borderId="1" xfId="0" applyFont="1" applyFill="1" applyBorder="1" applyAlignment="1">
      <alignment horizontal="center" vertical="top" wrapText="1"/>
    </xf>
    <xf numFmtId="0" fontId="6" fillId="9" borderId="1" xfId="0" applyFont="1" applyFill="1" applyBorder="1" applyAlignment="1">
      <alignment horizontal="center" vertical="top"/>
    </xf>
    <xf numFmtId="164" fontId="5" fillId="9" borderId="1" xfId="0" applyNumberFormat="1" applyFont="1" applyFill="1" applyBorder="1" applyAlignment="1">
      <alignment horizontal="center" vertical="top"/>
    </xf>
    <xf numFmtId="0" fontId="14" fillId="9" borderId="0" xfId="0" applyFont="1" applyFill="1"/>
    <xf numFmtId="0" fontId="0" fillId="9" borderId="0" xfId="0" applyFill="1"/>
    <xf numFmtId="0" fontId="6" fillId="9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7" borderId="0" xfId="0" applyNumberFormat="1" applyFill="1"/>
    <xf numFmtId="165" fontId="0" fillId="7" borderId="0" xfId="0" applyNumberFormat="1" applyFill="1"/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  <xf numFmtId="4" fontId="0" fillId="8" borderId="0" xfId="0" applyNumberFormat="1" applyFill="1"/>
    <xf numFmtId="4" fontId="0" fillId="9" borderId="0" xfId="0" applyNumberFormat="1" applyFill="1"/>
    <xf numFmtId="164" fontId="6" fillId="6" borderId="1" xfId="0" applyNumberFormat="1" applyFont="1" applyFill="1" applyBorder="1" applyAlignment="1">
      <alignment horizontal="center" vertical="top"/>
    </xf>
    <xf numFmtId="4" fontId="7" fillId="6" borderId="0" xfId="0" applyNumberFormat="1" applyFont="1" applyFill="1" applyAlignment="1">
      <alignment vertical="top"/>
    </xf>
    <xf numFmtId="0" fontId="6" fillId="0" borderId="1" xfId="0" applyFont="1" applyBorder="1" applyAlignment="1">
      <alignment horizontal="center" vertical="top"/>
    </xf>
    <xf numFmtId="164" fontId="5" fillId="0" borderId="1" xfId="0" applyNumberFormat="1" applyFont="1" applyBorder="1" applyAlignment="1" applyProtection="1">
      <alignment horizontal="center" vertical="top"/>
      <protection hidden="1"/>
    </xf>
    <xf numFmtId="164" fontId="6" fillId="0" borderId="1" xfId="0" applyNumberFormat="1" applyFont="1" applyBorder="1" applyAlignment="1" applyProtection="1">
      <alignment horizontal="center" vertical="top"/>
      <protection hidden="1"/>
    </xf>
    <xf numFmtId="0" fontId="21" fillId="0" borderId="0" xfId="0" applyFont="1" applyAlignment="1">
      <alignment vertical="top"/>
    </xf>
    <xf numFmtId="0" fontId="8" fillId="0" borderId="0" xfId="0" applyFont="1" applyAlignment="1">
      <alignment vertical="top"/>
    </xf>
    <xf numFmtId="4" fontId="8" fillId="0" borderId="0" xfId="0" applyNumberFormat="1" applyFont="1" applyAlignment="1">
      <alignment vertical="top"/>
    </xf>
    <xf numFmtId="0" fontId="9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 applyProtection="1">
      <alignment horizontal="center" vertical="top"/>
      <protection hidden="1"/>
    </xf>
    <xf numFmtId="164" fontId="9" fillId="0" borderId="1" xfId="0" applyNumberFormat="1" applyFont="1" applyBorder="1" applyAlignment="1" applyProtection="1">
      <alignment horizontal="center" vertical="top"/>
      <protection hidden="1"/>
    </xf>
    <xf numFmtId="164" fontId="9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top" wrapText="1"/>
    </xf>
    <xf numFmtId="0" fontId="22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1" xfId="0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9" fillId="10" borderId="1" xfId="0" applyNumberFormat="1" applyFont="1" applyFill="1" applyBorder="1" applyAlignment="1">
      <alignment horizontal="center" vertical="top"/>
    </xf>
    <xf numFmtId="4" fontId="0" fillId="6" borderId="0" xfId="0" applyNumberFormat="1" applyFill="1"/>
    <xf numFmtId="165" fontId="5" fillId="0" borderId="1" xfId="0" applyNumberFormat="1" applyFont="1" applyBorder="1" applyAlignment="1" applyProtection="1">
      <alignment horizontal="center" vertical="top"/>
      <protection hidden="1"/>
    </xf>
    <xf numFmtId="165" fontId="6" fillId="0" borderId="1" xfId="0" applyNumberFormat="1" applyFont="1" applyBorder="1" applyAlignment="1" applyProtection="1">
      <alignment horizontal="center" vertical="top"/>
      <protection hidden="1"/>
    </xf>
    <xf numFmtId="4" fontId="0" fillId="5" borderId="0" xfId="0" applyNumberFormat="1" applyFill="1"/>
    <xf numFmtId="164" fontId="11" fillId="0" borderId="1" xfId="0" applyNumberFormat="1" applyFont="1" applyBorder="1" applyAlignment="1" applyProtection="1">
      <alignment horizontal="center" vertical="top"/>
      <protection hidden="1"/>
    </xf>
    <xf numFmtId="164" fontId="12" fillId="0" borderId="1" xfId="0" applyNumberFormat="1" applyFont="1" applyBorder="1" applyAlignment="1" applyProtection="1">
      <alignment horizontal="center" vertical="top"/>
      <protection hidden="1"/>
    </xf>
    <xf numFmtId="165" fontId="5" fillId="5" borderId="1" xfId="0" applyNumberFormat="1" applyFont="1" applyFill="1" applyBorder="1" applyAlignment="1" applyProtection="1">
      <alignment horizontal="center" vertical="top"/>
      <protection hidden="1"/>
    </xf>
    <xf numFmtId="165" fontId="6" fillId="5" borderId="1" xfId="0" applyNumberFormat="1" applyFont="1" applyFill="1" applyBorder="1" applyAlignment="1" applyProtection="1">
      <alignment horizontal="center" vertical="top"/>
      <protection hidden="1"/>
    </xf>
    <xf numFmtId="164" fontId="6" fillId="5" borderId="1" xfId="0" applyNumberFormat="1" applyFont="1" applyFill="1" applyBorder="1" applyAlignment="1">
      <alignment horizontal="center" vertical="top"/>
    </xf>
    <xf numFmtId="164" fontId="9" fillId="5" borderId="1" xfId="0" applyNumberFormat="1" applyFont="1" applyFill="1" applyBorder="1" applyAlignment="1">
      <alignment horizontal="center" vertical="top"/>
    </xf>
    <xf numFmtId="164" fontId="6" fillId="5" borderId="1" xfId="0" applyNumberFormat="1" applyFont="1" applyFill="1" applyBorder="1" applyAlignment="1" applyProtection="1">
      <alignment horizontal="center" vertical="top"/>
      <protection hidden="1"/>
    </xf>
    <xf numFmtId="164" fontId="9" fillId="5" borderId="1" xfId="0" applyNumberFormat="1" applyFont="1" applyFill="1" applyBorder="1" applyAlignment="1" applyProtection="1">
      <alignment horizontal="center" vertical="top"/>
      <protection hidden="1"/>
    </xf>
    <xf numFmtId="164" fontId="9" fillId="5" borderId="1" xfId="0" applyNumberFormat="1" applyFont="1" applyFill="1" applyBorder="1" applyAlignment="1">
      <alignment horizontal="center" vertical="top" wrapText="1"/>
    </xf>
    <xf numFmtId="4" fontId="7" fillId="6" borderId="0" xfId="0" applyNumberFormat="1" applyFont="1" applyFill="1" applyAlignment="1">
      <alignment vertical="center"/>
    </xf>
    <xf numFmtId="164" fontId="11" fillId="0" borderId="1" xfId="0" applyNumberFormat="1" applyFont="1" applyBorder="1" applyAlignment="1">
      <alignment horizontal="center" vertical="top"/>
    </xf>
    <xf numFmtId="164" fontId="27" fillId="0" borderId="1" xfId="0" applyNumberFormat="1" applyFont="1" applyBorder="1" applyAlignment="1">
      <alignment horizontal="center" vertical="top"/>
    </xf>
    <xf numFmtId="164" fontId="12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4" fontId="1" fillId="6" borderId="0" xfId="0" applyNumberFormat="1" applyFont="1" applyFill="1"/>
    <xf numFmtId="166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 wrapText="1"/>
    </xf>
    <xf numFmtId="0" fontId="23" fillId="0" borderId="0" xfId="0" applyFont="1"/>
    <xf numFmtId="0" fontId="1" fillId="0" borderId="0" xfId="0" applyFont="1"/>
    <xf numFmtId="4" fontId="1" fillId="0" borderId="0" xfId="0" applyNumberFormat="1" applyFont="1"/>
    <xf numFmtId="4" fontId="1" fillId="5" borderId="0" xfId="0" applyNumberFormat="1" applyFont="1" applyFill="1"/>
    <xf numFmtId="165" fontId="14" fillId="0" borderId="0" xfId="0" applyNumberFormat="1" applyFont="1"/>
    <xf numFmtId="164" fontId="28" fillId="5" borderId="1" xfId="0" applyNumberFormat="1" applyFont="1" applyFill="1" applyBorder="1" applyAlignment="1">
      <alignment horizontal="center" vertical="top"/>
    </xf>
    <xf numFmtId="164" fontId="29" fillId="5" borderId="1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Border="1" applyAlignment="1">
      <alignment horizontal="center" vertical="top" wrapText="1"/>
    </xf>
    <xf numFmtId="164" fontId="15" fillId="0" borderId="1" xfId="0" applyNumberFormat="1" applyFont="1" applyBorder="1" applyAlignment="1">
      <alignment horizontal="center" vertical="top"/>
    </xf>
    <xf numFmtId="164" fontId="13" fillId="0" borderId="1" xfId="0" applyNumberFormat="1" applyFont="1" applyBorder="1" applyAlignment="1">
      <alignment horizontal="center" vertical="top"/>
    </xf>
    <xf numFmtId="0" fontId="14" fillId="0" borderId="1" xfId="0" applyFont="1" applyBorder="1"/>
    <xf numFmtId="0" fontId="30" fillId="0" borderId="1" xfId="0" applyFont="1" applyBorder="1"/>
    <xf numFmtId="0" fontId="30" fillId="5" borderId="1" xfId="0" applyFont="1" applyFill="1" applyBorder="1"/>
    <xf numFmtId="49" fontId="4" fillId="0" borderId="0" xfId="0" applyNumberFormat="1" applyFont="1"/>
    <xf numFmtId="165" fontId="4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14" fillId="9" borderId="0" xfId="0" applyNumberFormat="1" applyFont="1" applyFill="1"/>
    <xf numFmtId="0" fontId="4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64" fontId="4" fillId="11" borderId="1" xfId="0" applyNumberFormat="1" applyFont="1" applyFill="1" applyBorder="1" applyAlignment="1">
      <alignment horizontal="center" vertical="top" wrapText="1"/>
    </xf>
    <xf numFmtId="4" fontId="4" fillId="0" borderId="0" xfId="0" applyNumberFormat="1" applyFont="1" applyFill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0" fillId="12" borderId="0" xfId="0" applyFill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4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4" fontId="2" fillId="0" borderId="9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12" fillId="0" borderId="0" xfId="0" applyFont="1" applyAlignment="1">
      <alignment horizontal="right" vertical="center" wrapText="1"/>
    </xf>
    <xf numFmtId="0" fontId="37" fillId="0" borderId="0" xfId="0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7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1" fontId="37" fillId="0" borderId="0" xfId="0" applyNumberFormat="1" applyFont="1" applyAlignment="1">
      <alignment horizontal="center" vertical="center"/>
    </xf>
    <xf numFmtId="1" fontId="4" fillId="0" borderId="22" xfId="0" applyNumberFormat="1" applyFont="1" applyFill="1" applyBorder="1" applyAlignment="1">
      <alignment horizontal="center" vertical="center" wrapText="1"/>
    </xf>
    <xf numFmtId="1" fontId="4" fillId="0" borderId="23" xfId="0" applyNumberFormat="1" applyFont="1" applyFill="1" applyBorder="1" applyAlignment="1">
      <alignment horizontal="center" vertical="center" wrapText="1"/>
    </xf>
    <xf numFmtId="1" fontId="34" fillId="0" borderId="23" xfId="0" applyNumberFormat="1" applyFont="1" applyBorder="1" applyAlignment="1">
      <alignment horizontal="center" vertical="center" wrapText="1"/>
    </xf>
    <xf numFmtId="1" fontId="12" fillId="0" borderId="24" xfId="0" applyNumberFormat="1" applyFont="1" applyBorder="1" applyAlignment="1">
      <alignment horizontal="center" vertical="center" wrapText="1"/>
    </xf>
    <xf numFmtId="1" fontId="0" fillId="0" borderId="0" xfId="0" applyNumberFormat="1" applyFont="1"/>
    <xf numFmtId="1" fontId="4" fillId="0" borderId="31" xfId="0" applyNumberFormat="1" applyFont="1" applyFill="1" applyBorder="1" applyAlignment="1">
      <alignment horizontal="center" vertical="center" wrapText="1"/>
    </xf>
    <xf numFmtId="1" fontId="34" fillId="0" borderId="37" xfId="0" applyNumberFormat="1" applyFont="1" applyBorder="1" applyAlignment="1">
      <alignment horizontal="center" vertical="center" wrapText="1"/>
    </xf>
    <xf numFmtId="4" fontId="2" fillId="0" borderId="35" xfId="0" applyNumberFormat="1" applyFont="1" applyFill="1" applyBorder="1" applyAlignment="1">
      <alignment horizontal="center" vertical="center"/>
    </xf>
    <xf numFmtId="1" fontId="34" fillId="0" borderId="24" xfId="0" applyNumberFormat="1" applyFont="1" applyBorder="1" applyAlignment="1">
      <alignment horizontal="center" vertical="center" wrapText="1"/>
    </xf>
    <xf numFmtId="0" fontId="39" fillId="7" borderId="2" xfId="0" applyFont="1" applyFill="1" applyBorder="1" applyAlignment="1">
      <alignment horizontal="center" vertical="center"/>
    </xf>
    <xf numFmtId="0" fontId="39" fillId="7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5" fontId="41" fillId="0" borderId="0" xfId="0" applyNumberFormat="1" applyFont="1" applyFill="1" applyAlignment="1">
      <alignment horizontal="center" vertical="center"/>
    </xf>
    <xf numFmtId="0" fontId="42" fillId="0" borderId="1" xfId="0" applyFont="1" applyFill="1" applyBorder="1" applyAlignment="1">
      <alignment horizontal="center" vertical="center" wrapText="1"/>
    </xf>
    <xf numFmtId="4" fontId="33" fillId="0" borderId="0" xfId="0" applyNumberFormat="1" applyFont="1" applyFill="1" applyAlignment="1">
      <alignment horizontal="left" vertical="center" wrapText="1"/>
    </xf>
    <xf numFmtId="0" fontId="37" fillId="3" borderId="0" xfId="0" applyFont="1" applyFill="1" applyAlignment="1">
      <alignment horizontal="center" vertical="center"/>
    </xf>
    <xf numFmtId="0" fontId="0" fillId="3" borderId="0" xfId="0" applyFill="1"/>
    <xf numFmtId="4" fontId="33" fillId="0" borderId="43" xfId="0" applyNumberFormat="1" applyFont="1" applyFill="1" applyBorder="1" applyAlignment="1">
      <alignment vertical="center" wrapText="1"/>
    </xf>
    <xf numFmtId="49" fontId="43" fillId="0" borderId="8" xfId="0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left" vertical="center" wrapText="1"/>
    </xf>
    <xf numFmtId="49" fontId="43" fillId="10" borderId="8" xfId="0" applyNumberFormat="1" applyFont="1" applyFill="1" applyBorder="1" applyAlignment="1">
      <alignment horizontal="center" vertical="center" wrapText="1"/>
    </xf>
    <xf numFmtId="49" fontId="43" fillId="10" borderId="10" xfId="0" applyNumberFormat="1" applyFont="1" applyFill="1" applyBorder="1" applyAlignment="1">
      <alignment horizontal="center" vertical="center" wrapText="1"/>
    </xf>
    <xf numFmtId="0" fontId="43" fillId="0" borderId="11" xfId="0" applyFont="1" applyFill="1" applyBorder="1" applyAlignment="1">
      <alignment horizontal="left" vertical="center" wrapText="1"/>
    </xf>
    <xf numFmtId="164" fontId="36" fillId="7" borderId="32" xfId="0" applyNumberFormat="1" applyFont="1" applyFill="1" applyBorder="1" applyAlignment="1">
      <alignment horizontal="center" vertical="center"/>
    </xf>
    <xf numFmtId="164" fontId="36" fillId="7" borderId="2" xfId="0" applyNumberFormat="1" applyFont="1" applyFill="1" applyBorder="1" applyAlignment="1">
      <alignment horizontal="center" vertical="center"/>
    </xf>
    <xf numFmtId="164" fontId="36" fillId="7" borderId="14" xfId="0" applyNumberFormat="1" applyFont="1" applyFill="1" applyBorder="1" applyAlignment="1">
      <alignment horizontal="center" vertical="center"/>
    </xf>
    <xf numFmtId="4" fontId="36" fillId="7" borderId="38" xfId="0" applyNumberFormat="1" applyFont="1" applyFill="1" applyBorder="1" applyAlignment="1">
      <alignment horizontal="center" vertical="center"/>
    </xf>
    <xf numFmtId="4" fontId="36" fillId="7" borderId="2" xfId="0" applyNumberFormat="1" applyFont="1" applyFill="1" applyBorder="1" applyAlignment="1">
      <alignment horizontal="center" vertical="center"/>
    </xf>
    <xf numFmtId="4" fontId="36" fillId="7" borderId="14" xfId="0" applyNumberFormat="1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left" vertical="center" wrapText="1"/>
    </xf>
    <xf numFmtId="164" fontId="36" fillId="7" borderId="29" xfId="0" applyNumberFormat="1" applyFont="1" applyFill="1" applyBorder="1" applyAlignment="1">
      <alignment horizontal="center" vertical="center"/>
    </xf>
    <xf numFmtId="164" fontId="36" fillId="7" borderId="1" xfId="0" applyNumberFormat="1" applyFont="1" applyFill="1" applyBorder="1" applyAlignment="1">
      <alignment horizontal="center" vertical="center"/>
    </xf>
    <xf numFmtId="164" fontId="36" fillId="7" borderId="9" xfId="0" applyNumberFormat="1" applyFont="1" applyFill="1" applyBorder="1" applyAlignment="1">
      <alignment horizontal="center" vertical="center"/>
    </xf>
    <xf numFmtId="4" fontId="36" fillId="7" borderId="35" xfId="0" applyNumberFormat="1" applyFont="1" applyFill="1" applyBorder="1" applyAlignment="1">
      <alignment horizontal="center" vertical="center"/>
    </xf>
    <xf numFmtId="4" fontId="36" fillId="7" borderId="1" xfId="0" applyNumberFormat="1" applyFont="1" applyFill="1" applyBorder="1" applyAlignment="1">
      <alignment horizontal="center" vertical="center"/>
    </xf>
    <xf numFmtId="4" fontId="36" fillId="7" borderId="9" xfId="0" applyNumberFormat="1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left" vertical="center" wrapText="1"/>
    </xf>
    <xf numFmtId="164" fontId="36" fillId="3" borderId="29" xfId="0" applyNumberFormat="1" applyFont="1" applyFill="1" applyBorder="1" applyAlignment="1">
      <alignment horizontal="center" vertical="center"/>
    </xf>
    <xf numFmtId="164" fontId="36" fillId="3" borderId="1" xfId="0" applyNumberFormat="1" applyFont="1" applyFill="1" applyBorder="1" applyAlignment="1">
      <alignment horizontal="center" vertical="center"/>
    </xf>
    <xf numFmtId="164" fontId="36" fillId="3" borderId="9" xfId="0" applyNumberFormat="1" applyFont="1" applyFill="1" applyBorder="1" applyAlignment="1">
      <alignment horizontal="center" vertical="center"/>
    </xf>
    <xf numFmtId="4" fontId="36" fillId="3" borderId="35" xfId="0" applyNumberFormat="1" applyFont="1" applyFill="1" applyBorder="1" applyAlignment="1">
      <alignment horizontal="center" vertical="center"/>
    </xf>
    <xf numFmtId="4" fontId="36" fillId="3" borderId="1" xfId="0" applyNumberFormat="1" applyFont="1" applyFill="1" applyBorder="1" applyAlignment="1">
      <alignment horizontal="center" vertical="center"/>
    </xf>
    <xf numFmtId="4" fontId="36" fillId="3" borderId="20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center" wrapText="1"/>
    </xf>
    <xf numFmtId="164" fontId="43" fillId="0" borderId="29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4" fontId="3" fillId="0" borderId="35" xfId="0" applyNumberFormat="1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left" vertical="center" wrapText="1"/>
    </xf>
    <xf numFmtId="164" fontId="43" fillId="0" borderId="29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justify" vertical="center" wrapText="1"/>
    </xf>
    <xf numFmtId="0" fontId="3" fillId="0" borderId="16" xfId="0" applyFont="1" applyFill="1" applyBorder="1" applyAlignment="1">
      <alignment horizontal="left" vertical="center" wrapText="1"/>
    </xf>
    <xf numFmtId="164" fontId="43" fillId="0" borderId="29" xfId="0" applyNumberFormat="1" applyFont="1" applyFill="1" applyBorder="1" applyAlignment="1" applyProtection="1">
      <alignment horizontal="center" vertical="center"/>
      <protection hidden="1"/>
    </xf>
    <xf numFmtId="4" fontId="3" fillId="0" borderId="9" xfId="0" applyNumberFormat="1" applyFont="1" applyFill="1" applyBorder="1" applyAlignment="1">
      <alignment horizontal="justify" vertical="center" wrapText="1"/>
    </xf>
    <xf numFmtId="4" fontId="43" fillId="0" borderId="1" xfId="0" applyNumberFormat="1" applyFont="1" applyFill="1" applyBorder="1" applyAlignment="1">
      <alignment horizontal="center" vertical="center"/>
    </xf>
    <xf numFmtId="4" fontId="43" fillId="0" borderId="9" xfId="0" applyNumberFormat="1" applyFont="1" applyFill="1" applyBorder="1" applyAlignment="1">
      <alignment horizontal="center" vertical="center"/>
    </xf>
    <xf numFmtId="4" fontId="43" fillId="0" borderId="35" xfId="0" applyNumberFormat="1" applyFont="1" applyFill="1" applyBorder="1" applyAlignment="1">
      <alignment horizontal="center" vertical="center"/>
    </xf>
    <xf numFmtId="4" fontId="43" fillId="0" borderId="9" xfId="0" applyNumberFormat="1" applyFont="1" applyFill="1" applyBorder="1" applyAlignment="1">
      <alignment horizontal="justify" vertical="center" wrapText="1"/>
    </xf>
    <xf numFmtId="0" fontId="43" fillId="0" borderId="16" xfId="0" applyFont="1" applyFill="1" applyBorder="1" applyAlignment="1">
      <alignment horizontal="left" vertical="center" wrapText="1"/>
    </xf>
    <xf numFmtId="164" fontId="3" fillId="0" borderId="29" xfId="0" applyNumberFormat="1" applyFont="1" applyFill="1" applyBorder="1" applyAlignment="1" applyProtection="1">
      <alignment horizontal="center" vertical="center"/>
      <protection hidden="1"/>
    </xf>
    <xf numFmtId="164" fontId="3" fillId="0" borderId="29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horizontal="center" vertical="center"/>
    </xf>
    <xf numFmtId="164" fontId="43" fillId="0" borderId="33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4" fontId="3" fillId="0" borderId="39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justify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49" fontId="43" fillId="10" borderId="8" xfId="0" applyNumberFormat="1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justify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top" wrapText="1"/>
    </xf>
    <xf numFmtId="4" fontId="47" fillId="0" borderId="35" xfId="0" applyNumberFormat="1" applyFont="1" applyFill="1" applyBorder="1" applyAlignment="1">
      <alignment horizontal="center" vertical="center"/>
    </xf>
    <xf numFmtId="4" fontId="47" fillId="0" borderId="9" xfId="0" applyNumberFormat="1" applyFont="1" applyFill="1" applyBorder="1" applyAlignment="1">
      <alignment horizontal="center" vertical="center"/>
    </xf>
    <xf numFmtId="4" fontId="47" fillId="0" borderId="9" xfId="0" applyNumberFormat="1" applyFont="1" applyBorder="1" applyAlignment="1">
      <alignment horizontal="center" vertical="center"/>
    </xf>
    <xf numFmtId="0" fontId="43" fillId="0" borderId="1" xfId="0" applyFont="1" applyFill="1" applyBorder="1" applyAlignment="1">
      <alignment horizontal="left" vertical="center" wrapText="1"/>
    </xf>
    <xf numFmtId="4" fontId="13" fillId="0" borderId="0" xfId="0" applyNumberFormat="1" applyFont="1" applyAlignment="1">
      <alignment horizontal="center" vertical="center"/>
    </xf>
    <xf numFmtId="1" fontId="50" fillId="0" borderId="22" xfId="0" applyNumberFormat="1" applyFont="1" applyBorder="1" applyAlignment="1">
      <alignment horizontal="center" vertical="center" wrapText="1"/>
    </xf>
    <xf numFmtId="164" fontId="51" fillId="7" borderId="13" xfId="0" applyNumberFormat="1" applyFont="1" applyFill="1" applyBorder="1" applyAlignment="1">
      <alignment horizontal="center" vertical="center"/>
    </xf>
    <xf numFmtId="164" fontId="51" fillId="7" borderId="8" xfId="0" applyNumberFormat="1" applyFont="1" applyFill="1" applyBorder="1" applyAlignment="1">
      <alignment horizontal="center" vertical="center"/>
    </xf>
    <xf numFmtId="164" fontId="51" fillId="3" borderId="8" xfId="0" applyNumberFormat="1" applyFont="1" applyFill="1" applyBorder="1" applyAlignment="1">
      <alignment horizontal="center" vertical="center"/>
    </xf>
    <xf numFmtId="4" fontId="47" fillId="0" borderId="8" xfId="0" applyNumberFormat="1" applyFont="1" applyFill="1" applyBorder="1" applyAlignment="1">
      <alignment horizontal="center" vertical="center"/>
    </xf>
    <xf numFmtId="4" fontId="51" fillId="0" borderId="8" xfId="0" applyNumberFormat="1" applyFont="1" applyFill="1" applyBorder="1" applyAlignment="1">
      <alignment horizontal="center" vertical="center"/>
    </xf>
    <xf numFmtId="4" fontId="47" fillId="0" borderId="8" xfId="0" applyNumberFormat="1" applyFont="1" applyBorder="1" applyAlignment="1">
      <alignment horizontal="center" vertical="center"/>
    </xf>
    <xf numFmtId="4" fontId="47" fillId="0" borderId="10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Alignment="1">
      <alignment horizontal="center" vertical="center"/>
    </xf>
    <xf numFmtId="4" fontId="13" fillId="0" borderId="0" xfId="0" applyNumberFormat="1" applyFont="1" applyFill="1" applyAlignment="1">
      <alignment horizontal="center" vertical="center"/>
    </xf>
    <xf numFmtId="0" fontId="0" fillId="0" borderId="44" xfId="0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4" fontId="3" fillId="0" borderId="20" xfId="0" applyNumberFormat="1" applyFont="1" applyFill="1" applyBorder="1" applyAlignment="1">
      <alignment horizontal="justify" vertical="top" wrapText="1"/>
    </xf>
    <xf numFmtId="4" fontId="3" fillId="0" borderId="14" xfId="0" applyNumberFormat="1" applyFont="1" applyFill="1" applyBorder="1" applyAlignment="1">
      <alignment horizontal="justify" vertical="top" wrapText="1"/>
    </xf>
    <xf numFmtId="0" fontId="3" fillId="0" borderId="16" xfId="0" applyFont="1" applyFill="1" applyBorder="1" applyAlignment="1">
      <alignment horizontal="left" vertical="center" wrapText="1"/>
    </xf>
    <xf numFmtId="4" fontId="3" fillId="0" borderId="20" xfId="0" applyNumberFormat="1" applyFont="1" applyFill="1" applyBorder="1" applyAlignment="1">
      <alignment horizontal="justify" vertical="center" wrapText="1"/>
    </xf>
    <xf numFmtId="4" fontId="3" fillId="0" borderId="14" xfId="0" applyNumberFormat="1" applyFont="1" applyFill="1" applyBorder="1" applyAlignment="1">
      <alignment horizontal="justify" vertical="center" wrapText="1"/>
    </xf>
    <xf numFmtId="4" fontId="2" fillId="0" borderId="20" xfId="0" applyNumberFormat="1" applyFont="1" applyFill="1" applyBorder="1" applyAlignment="1">
      <alignment horizontal="justify" vertical="center" wrapText="1"/>
    </xf>
    <xf numFmtId="4" fontId="2" fillId="0" borderId="14" xfId="0" applyNumberFormat="1" applyFont="1" applyFill="1" applyBorder="1" applyAlignment="1">
      <alignment horizontal="justify" vertical="center" wrapText="1"/>
    </xf>
    <xf numFmtId="0" fontId="43" fillId="0" borderId="16" xfId="0" applyFont="1" applyFill="1" applyBorder="1" applyAlignment="1">
      <alignment horizontal="left" vertical="top" wrapText="1"/>
    </xf>
    <xf numFmtId="49" fontId="43" fillId="10" borderId="8" xfId="0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left" vertical="center" wrapText="1"/>
    </xf>
    <xf numFmtId="0" fontId="36" fillId="3" borderId="42" xfId="0" applyFont="1" applyFill="1" applyBorder="1" applyAlignment="1">
      <alignment horizontal="left" vertical="center" wrapText="1"/>
    </xf>
    <xf numFmtId="0" fontId="36" fillId="3" borderId="27" xfId="0" applyFont="1" applyFill="1" applyBorder="1" applyAlignment="1">
      <alignment horizontal="left" vertical="center" wrapText="1"/>
    </xf>
    <xf numFmtId="0" fontId="36" fillId="3" borderId="35" xfId="0" applyFont="1" applyFill="1" applyBorder="1" applyAlignment="1">
      <alignment horizontal="left" vertical="center" wrapText="1"/>
    </xf>
    <xf numFmtId="0" fontId="34" fillId="0" borderId="34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left" vertical="center" wrapText="1"/>
    </xf>
    <xf numFmtId="49" fontId="43" fillId="0" borderId="8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49" fontId="43" fillId="10" borderId="21" xfId="0" applyNumberFormat="1" applyFont="1" applyFill="1" applyBorder="1" applyAlignment="1">
      <alignment horizontal="center" vertical="center" wrapText="1"/>
    </xf>
    <xf numFmtId="49" fontId="43" fillId="10" borderId="25" xfId="0" applyNumberFormat="1" applyFont="1" applyFill="1" applyBorder="1" applyAlignment="1">
      <alignment horizontal="center" vertical="center" wrapText="1"/>
    </xf>
    <xf numFmtId="49" fontId="43" fillId="10" borderId="13" xfId="0" applyNumberFormat="1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left" vertical="center" wrapText="1"/>
    </xf>
    <xf numFmtId="0" fontId="43" fillId="0" borderId="4" xfId="0" applyFont="1" applyFill="1" applyBorder="1" applyAlignment="1">
      <alignment horizontal="left" vertical="center" wrapText="1"/>
    </xf>
    <xf numFmtId="0" fontId="43" fillId="0" borderId="2" xfId="0" applyFont="1" applyFill="1" applyBorder="1" applyAlignment="1">
      <alignment horizontal="left" vertical="center" wrapText="1"/>
    </xf>
    <xf numFmtId="4" fontId="16" fillId="0" borderId="28" xfId="0" applyNumberFormat="1" applyFont="1" applyBorder="1" applyAlignment="1">
      <alignment horizontal="center" vertical="center" wrapText="1"/>
    </xf>
    <xf numFmtId="4" fontId="16" fillId="0" borderId="26" xfId="0" applyNumberFormat="1" applyFont="1" applyBorder="1" applyAlignment="1">
      <alignment horizontal="center" vertical="center" wrapText="1"/>
    </xf>
    <xf numFmtId="4" fontId="16" fillId="0" borderId="40" xfId="0" applyNumberFormat="1" applyFont="1" applyBorder="1" applyAlignment="1">
      <alignment horizontal="center" vertical="center" wrapText="1"/>
    </xf>
    <xf numFmtId="4" fontId="16" fillId="0" borderId="20" xfId="0" applyNumberFormat="1" applyFont="1" applyBorder="1" applyAlignment="1">
      <alignment horizontal="center" vertical="center" wrapText="1"/>
    </xf>
    <xf numFmtId="4" fontId="16" fillId="0" borderId="41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6" fillId="0" borderId="11" xfId="0" applyNumberFormat="1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4" fontId="49" fillId="0" borderId="5" xfId="0" applyNumberFormat="1" applyFont="1" applyBorder="1" applyAlignment="1">
      <alignment horizontal="center" vertical="center" wrapText="1"/>
    </xf>
    <xf numFmtId="4" fontId="49" fillId="0" borderId="8" xfId="0" applyNumberFormat="1" applyFont="1" applyBorder="1" applyAlignment="1">
      <alignment horizontal="center" vertical="center" wrapText="1"/>
    </xf>
    <xf numFmtId="4" fontId="49" fillId="0" borderId="10" xfId="0" applyNumberFormat="1" applyFont="1" applyBorder="1" applyAlignment="1">
      <alignment horizontal="center" vertical="center" wrapText="1"/>
    </xf>
    <xf numFmtId="4" fontId="33" fillId="0" borderId="43" xfId="0" applyNumberFormat="1" applyFont="1" applyFill="1" applyBorder="1" applyAlignment="1">
      <alignment horizontal="left" vertical="center" wrapText="1"/>
    </xf>
    <xf numFmtId="4" fontId="33" fillId="0" borderId="43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2" fontId="5" fillId="6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3" fillId="0" borderId="20" xfId="0" applyNumberFormat="1" applyFont="1" applyFill="1" applyBorder="1" applyAlignment="1">
      <alignment horizontal="left" vertical="center" wrapText="1"/>
    </xf>
    <xf numFmtId="4" fontId="3" fillId="0" borderId="14" xfId="0" applyNumberFormat="1" applyFont="1" applyFill="1" applyBorder="1" applyAlignment="1">
      <alignment horizontal="left" vertical="center" wrapText="1"/>
    </xf>
    <xf numFmtId="4" fontId="3" fillId="0" borderId="9" xfId="0" applyNumberFormat="1" applyFont="1" applyFill="1" applyBorder="1" applyAlignment="1">
      <alignment vertical="center" wrapText="1"/>
    </xf>
    <xf numFmtId="1" fontId="38" fillId="0" borderId="0" xfId="0" applyNumberFormat="1" applyFont="1" applyFill="1" applyAlignment="1">
      <alignment horizontal="left" vertical="center" wrapText="1"/>
    </xf>
    <xf numFmtId="1" fontId="0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  <color rgb="FFFFCCFF"/>
      <color rgb="FFFF66FF"/>
      <color rgb="FF98E7FA"/>
      <color rgb="FFBCE278"/>
      <color rgb="FFEBFCC0"/>
      <color rgb="FFCEE84E"/>
      <color rgb="FFDEE8BA"/>
      <color rgb="FFADF5B0"/>
      <color rgb="FF81F2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1210236</xdr:colOff>
      <xdr:row>3</xdr:row>
      <xdr:rowOff>11206</xdr:rowOff>
    </xdr:from>
    <xdr:to>
      <xdr:col>1</xdr:col>
      <xdr:colOff>2252383</xdr:colOff>
      <xdr:row>4</xdr:row>
      <xdr:rowOff>11206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xmlns="" id="{47B70831-D757-4076-9188-5A0CA837A7B0}"/>
            </a:ext>
          </a:extLst>
        </xdr:cNvPr>
        <xdr:cNvSpPr/>
      </xdr:nvSpPr>
      <xdr:spPr>
        <a:xfrm>
          <a:off x="1696011" y="725581"/>
          <a:ext cx="1042147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1210236</xdr:colOff>
      <xdr:row>4</xdr:row>
      <xdr:rowOff>0</xdr:rowOff>
    </xdr:from>
    <xdr:to>
      <xdr:col>1</xdr:col>
      <xdr:colOff>2252383</xdr:colOff>
      <xdr:row>5</xdr:row>
      <xdr:rowOff>0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xmlns="" id="{5E74C9D9-2FCA-4875-9D00-0AE1C42C309F}"/>
            </a:ext>
          </a:extLst>
        </xdr:cNvPr>
        <xdr:cNvSpPr/>
      </xdr:nvSpPr>
      <xdr:spPr>
        <a:xfrm>
          <a:off x="1696011" y="952500"/>
          <a:ext cx="1042147" cy="2381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1210236</xdr:colOff>
      <xdr:row>3</xdr:row>
      <xdr:rowOff>11206</xdr:rowOff>
    </xdr:from>
    <xdr:to>
      <xdr:col>1</xdr:col>
      <xdr:colOff>2252383</xdr:colOff>
      <xdr:row>4</xdr:row>
      <xdr:rowOff>11206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692089" y="1232647"/>
          <a:ext cx="1042147" cy="30255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1210236</xdr:colOff>
      <xdr:row>4</xdr:row>
      <xdr:rowOff>0</xdr:rowOff>
    </xdr:from>
    <xdr:to>
      <xdr:col>1</xdr:col>
      <xdr:colOff>2252383</xdr:colOff>
      <xdr:row>5</xdr:row>
      <xdr:rowOff>0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1692089" y="1524000"/>
          <a:ext cx="1042147" cy="30255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8E7FA"/>
    <outlinePr summaryBelow="0"/>
    <pageSetUpPr fitToPage="1"/>
  </sheetPr>
  <dimension ref="A1:V254"/>
  <sheetViews>
    <sheetView showZeros="0" tabSelected="1" view="pageBreakPreview" zoomScale="55" zoomScaleNormal="70" zoomScaleSheetLayoutView="55" workbookViewId="0">
      <pane xSplit="3" ySplit="11" topLeftCell="G12" activePane="bottomRight" state="frozen"/>
      <selection pane="topRight" activeCell="F1" sqref="F1"/>
      <selection pane="bottomLeft" activeCell="A15" sqref="A15"/>
      <selection pane="bottomRight" activeCell="O13" sqref="O11:O13"/>
    </sheetView>
  </sheetViews>
  <sheetFormatPr defaultRowHeight="15.75" outlineLevelRow="1" x14ac:dyDescent="0.25"/>
  <cols>
    <col min="1" max="1" width="5.5703125" style="204" customWidth="1"/>
    <col min="2" max="2" width="8.85546875" style="186" customWidth="1"/>
    <col min="3" max="3" width="51" style="198" customWidth="1"/>
    <col min="4" max="4" width="18.7109375" style="62" customWidth="1"/>
    <col min="5" max="5" width="19.5703125" style="12" customWidth="1"/>
    <col min="6" max="6" width="15.140625" style="293" customWidth="1"/>
    <col min="7" max="8" width="15.7109375" style="190" customWidth="1"/>
    <col min="9" max="9" width="16" style="196" customWidth="1"/>
    <col min="10" max="10" width="12.7109375" style="196" customWidth="1"/>
    <col min="11" max="11" width="18.28515625" style="196" customWidth="1"/>
    <col min="12" max="12" width="17.140625" style="196" customWidth="1"/>
    <col min="13" max="13" width="105.42578125" style="222" customWidth="1"/>
    <col min="14" max="14" width="92.42578125" style="200" hidden="1" customWidth="1"/>
    <col min="15" max="15" width="76.28515625" style="225" customWidth="1"/>
    <col min="16" max="22" width="9.140625" style="9"/>
  </cols>
  <sheetData>
    <row r="1" spans="1:22" ht="79.5" customHeight="1" x14ac:dyDescent="0.25">
      <c r="B1" s="334" t="s">
        <v>354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</row>
    <row r="2" spans="1:22" ht="19.5" thickBot="1" x14ac:dyDescent="0.3">
      <c r="B2" s="29"/>
      <c r="C2" s="197"/>
      <c r="D2" s="193"/>
      <c r="E2" s="194"/>
      <c r="N2" s="202" t="s">
        <v>299</v>
      </c>
    </row>
    <row r="3" spans="1:22" x14ac:dyDescent="0.25">
      <c r="B3" s="347" t="s">
        <v>0</v>
      </c>
      <c r="C3" s="350" t="s">
        <v>1</v>
      </c>
      <c r="D3" s="350" t="s">
        <v>5</v>
      </c>
      <c r="E3" s="362" t="s">
        <v>282</v>
      </c>
      <c r="F3" s="365" t="s">
        <v>284</v>
      </c>
      <c r="G3" s="342" t="s">
        <v>146</v>
      </c>
      <c r="H3" s="343"/>
      <c r="I3" s="343"/>
      <c r="J3" s="344"/>
      <c r="K3" s="319" t="s">
        <v>293</v>
      </c>
      <c r="L3" s="322" t="s">
        <v>294</v>
      </c>
      <c r="M3" s="325" t="s">
        <v>295</v>
      </c>
      <c r="N3" s="357" t="s">
        <v>283</v>
      </c>
    </row>
    <row r="4" spans="1:22" x14ac:dyDescent="0.25">
      <c r="B4" s="348"/>
      <c r="C4" s="351"/>
      <c r="D4" s="351"/>
      <c r="E4" s="363"/>
      <c r="F4" s="366"/>
      <c r="G4" s="360" t="s">
        <v>312</v>
      </c>
      <c r="H4" s="360" t="s">
        <v>311</v>
      </c>
      <c r="I4" s="360" t="s">
        <v>310</v>
      </c>
      <c r="J4" s="345" t="s">
        <v>308</v>
      </c>
      <c r="K4" s="320"/>
      <c r="L4" s="323"/>
      <c r="M4" s="326"/>
      <c r="N4" s="358"/>
    </row>
    <row r="5" spans="1:22" ht="102.75" customHeight="1" thickBot="1" x14ac:dyDescent="0.3">
      <c r="B5" s="349"/>
      <c r="C5" s="352"/>
      <c r="D5" s="352"/>
      <c r="E5" s="364"/>
      <c r="F5" s="367"/>
      <c r="G5" s="361"/>
      <c r="H5" s="361"/>
      <c r="I5" s="361"/>
      <c r="J5" s="346"/>
      <c r="K5" s="321"/>
      <c r="L5" s="324"/>
      <c r="M5" s="327"/>
      <c r="N5" s="359"/>
    </row>
    <row r="6" spans="1:22" s="212" customFormat="1" ht="16.5" thickBot="1" x14ac:dyDescent="0.3">
      <c r="A6" s="207"/>
      <c r="B6" s="208">
        <v>1</v>
      </c>
      <c r="C6" s="209">
        <v>2</v>
      </c>
      <c r="D6" s="209">
        <v>3</v>
      </c>
      <c r="E6" s="213">
        <v>4</v>
      </c>
      <c r="F6" s="294">
        <v>5</v>
      </c>
      <c r="G6" s="210">
        <v>6</v>
      </c>
      <c r="H6" s="210">
        <v>7</v>
      </c>
      <c r="I6" s="210">
        <v>8</v>
      </c>
      <c r="J6" s="216">
        <v>9</v>
      </c>
      <c r="K6" s="214">
        <v>10</v>
      </c>
      <c r="L6" s="210">
        <v>11</v>
      </c>
      <c r="M6" s="210">
        <v>12</v>
      </c>
      <c r="N6" s="211">
        <v>13</v>
      </c>
      <c r="O6" s="436"/>
      <c r="P6" s="437"/>
      <c r="Q6" s="437"/>
      <c r="R6" s="437"/>
      <c r="S6" s="437"/>
      <c r="T6" s="437"/>
      <c r="U6" s="437"/>
      <c r="V6" s="437"/>
    </row>
    <row r="7" spans="1:22" s="83" customFormat="1" ht="18.75" x14ac:dyDescent="0.25">
      <c r="A7" s="205"/>
      <c r="B7" s="353"/>
      <c r="C7" s="355" t="s">
        <v>164</v>
      </c>
      <c r="D7" s="217" t="s">
        <v>7</v>
      </c>
      <c r="E7" s="234">
        <f>SUM(E8:E11)</f>
        <v>786401.95554090908</v>
      </c>
      <c r="F7" s="295">
        <f t="shared" ref="F7:I7" si="0">SUM(F8:F11)</f>
        <v>338585.14</v>
      </c>
      <c r="G7" s="235">
        <f t="shared" si="0"/>
        <v>249247.58000000002</v>
      </c>
      <c r="H7" s="235">
        <f t="shared" si="0"/>
        <v>42000</v>
      </c>
      <c r="I7" s="235">
        <f t="shared" si="0"/>
        <v>47207.600000000006</v>
      </c>
      <c r="J7" s="236">
        <f t="shared" ref="J7:L7" si="1">SUM(J8:J11)</f>
        <v>2619.85</v>
      </c>
      <c r="K7" s="237">
        <f t="shared" si="1"/>
        <v>176866.07</v>
      </c>
      <c r="L7" s="238">
        <f t="shared" si="1"/>
        <v>56730.259999999995</v>
      </c>
      <c r="M7" s="239"/>
      <c r="N7" s="240"/>
      <c r="O7" s="225"/>
      <c r="P7" s="9"/>
      <c r="Q7" s="9"/>
      <c r="R7" s="9"/>
      <c r="S7" s="9"/>
      <c r="T7" s="9"/>
      <c r="U7" s="9"/>
      <c r="V7" s="9"/>
    </row>
    <row r="8" spans="1:22" s="83" customFormat="1" ht="18.75" x14ac:dyDescent="0.25">
      <c r="A8" s="205"/>
      <c r="B8" s="354"/>
      <c r="C8" s="356"/>
      <c r="D8" s="218" t="s">
        <v>8</v>
      </c>
      <c r="E8" s="241"/>
      <c r="F8" s="296"/>
      <c r="G8" s="242"/>
      <c r="H8" s="242"/>
      <c r="I8" s="242"/>
      <c r="J8" s="243"/>
      <c r="K8" s="244"/>
      <c r="L8" s="245"/>
      <c r="M8" s="246"/>
      <c r="N8" s="247"/>
      <c r="O8" s="225"/>
      <c r="P8" s="9"/>
      <c r="Q8" s="9"/>
      <c r="R8" s="9"/>
      <c r="S8" s="9"/>
      <c r="T8" s="9"/>
      <c r="U8" s="9"/>
      <c r="V8" s="9"/>
    </row>
    <row r="9" spans="1:22" s="83" customFormat="1" ht="18.75" x14ac:dyDescent="0.25">
      <c r="A9" s="205"/>
      <c r="B9" s="354"/>
      <c r="C9" s="356"/>
      <c r="D9" s="218" t="s">
        <v>9</v>
      </c>
      <c r="E9" s="241">
        <f t="shared" ref="E9:L9" si="2">E13+E16+E19+E20+E21+E23+E24+E26+E27+E29+E31+E33+E34+E57+E58+E39+E60+E63+E41+E43+E45+E46+E65+E48+E50+E52+E54+E67</f>
        <v>546998.41</v>
      </c>
      <c r="F9" s="296">
        <f t="shared" si="2"/>
        <v>243633.24000000002</v>
      </c>
      <c r="G9" s="242">
        <f t="shared" si="2"/>
        <v>209537.14</v>
      </c>
      <c r="H9" s="242">
        <f t="shared" si="2"/>
        <v>0</v>
      </c>
      <c r="I9" s="242">
        <f t="shared" si="2"/>
        <v>34096.100000000006</v>
      </c>
      <c r="J9" s="243">
        <f t="shared" si="2"/>
        <v>0</v>
      </c>
      <c r="K9" s="244">
        <f t="shared" si="2"/>
        <v>135397.03</v>
      </c>
      <c r="L9" s="245">
        <f t="shared" si="2"/>
        <v>54613.189999999995</v>
      </c>
      <c r="M9" s="246"/>
      <c r="N9" s="247"/>
      <c r="O9" s="225"/>
      <c r="P9" s="9"/>
      <c r="Q9" s="9"/>
      <c r="R9" s="9"/>
      <c r="S9" s="9"/>
      <c r="T9" s="9"/>
      <c r="U9" s="9"/>
      <c r="V9" s="9"/>
    </row>
    <row r="10" spans="1:22" s="83" customFormat="1" ht="18.75" x14ac:dyDescent="0.25">
      <c r="A10" s="205"/>
      <c r="B10" s="354"/>
      <c r="C10" s="356"/>
      <c r="D10" s="218" t="s">
        <v>10</v>
      </c>
      <c r="E10" s="241">
        <f>E14+E17+E18+E22+E25+E28+E30+E32+E35+E59+E38+E40+E61+E62+E64+E42+E44+E47+E66+E49+E51+E53+E55+E69</f>
        <v>22798.25909090909</v>
      </c>
      <c r="F10" s="296">
        <f t="shared" ref="F10:L10" si="3">F14+F17+F18+F22+F25+F28+F30+F32+F35+F59+F38+F40+F61+F62+F64+F42+F44+F47+F66+F49+F51+F53+F55+F69+F15</f>
        <v>94951.9</v>
      </c>
      <c r="G10" s="242">
        <f t="shared" si="3"/>
        <v>39710.44</v>
      </c>
      <c r="H10" s="242">
        <f t="shared" si="3"/>
        <v>42000</v>
      </c>
      <c r="I10" s="242">
        <f t="shared" si="3"/>
        <v>13111.5</v>
      </c>
      <c r="J10" s="243">
        <f t="shared" si="3"/>
        <v>2619.85</v>
      </c>
      <c r="K10" s="244">
        <f t="shared" si="3"/>
        <v>41469.040000000001</v>
      </c>
      <c r="L10" s="245">
        <f t="shared" si="3"/>
        <v>2117.0700000000002</v>
      </c>
      <c r="M10" s="246"/>
      <c r="N10" s="247"/>
      <c r="O10" s="225"/>
      <c r="P10" s="9"/>
      <c r="Q10" s="9"/>
      <c r="R10" s="9"/>
      <c r="S10" s="9"/>
      <c r="T10" s="9"/>
      <c r="U10" s="9"/>
      <c r="V10" s="9"/>
    </row>
    <row r="11" spans="1:22" s="83" customFormat="1" ht="18.75" x14ac:dyDescent="0.25">
      <c r="A11" s="205"/>
      <c r="B11" s="354"/>
      <c r="C11" s="356"/>
      <c r="D11" s="218" t="s">
        <v>11</v>
      </c>
      <c r="E11" s="241">
        <f t="shared" ref="E11:L11" si="4">E36+E37+E68</f>
        <v>216605.28644999999</v>
      </c>
      <c r="F11" s="296">
        <f t="shared" si="4"/>
        <v>0</v>
      </c>
      <c r="G11" s="242">
        <f t="shared" si="4"/>
        <v>0</v>
      </c>
      <c r="H11" s="242">
        <f t="shared" si="4"/>
        <v>0</v>
      </c>
      <c r="I11" s="242">
        <f t="shared" si="4"/>
        <v>0</v>
      </c>
      <c r="J11" s="243">
        <f t="shared" si="4"/>
        <v>0</v>
      </c>
      <c r="K11" s="244">
        <f t="shared" si="4"/>
        <v>0</v>
      </c>
      <c r="L11" s="245">
        <f t="shared" si="4"/>
        <v>0</v>
      </c>
      <c r="M11" s="246"/>
      <c r="N11" s="247"/>
      <c r="O11" s="225"/>
      <c r="P11" s="9"/>
      <c r="Q11" s="9"/>
      <c r="R11" s="9"/>
      <c r="S11" s="9"/>
      <c r="T11" s="9"/>
      <c r="U11" s="9"/>
      <c r="V11" s="9"/>
    </row>
    <row r="12" spans="1:22" s="227" customFormat="1" ht="25.5" customHeight="1" x14ac:dyDescent="0.25">
      <c r="A12" s="226"/>
      <c r="B12" s="316" t="s">
        <v>315</v>
      </c>
      <c r="C12" s="317"/>
      <c r="D12" s="318"/>
      <c r="E12" s="248">
        <f>SUM(E13:E55)</f>
        <v>668553.5955409091</v>
      </c>
      <c r="F12" s="297">
        <f t="shared" ref="F12:L12" si="5">SUM(F13:F55)</f>
        <v>283110.71999999997</v>
      </c>
      <c r="G12" s="249">
        <f t="shared" si="5"/>
        <v>226533.27000000002</v>
      </c>
      <c r="H12" s="249">
        <f t="shared" si="5"/>
        <v>6750</v>
      </c>
      <c r="I12" s="249">
        <f t="shared" si="5"/>
        <v>47207.6</v>
      </c>
      <c r="J12" s="250">
        <f t="shared" si="5"/>
        <v>2619.85</v>
      </c>
      <c r="K12" s="251">
        <f t="shared" si="5"/>
        <v>151152.07</v>
      </c>
      <c r="L12" s="252">
        <f t="shared" si="5"/>
        <v>56730.259999999995</v>
      </c>
      <c r="M12" s="253"/>
      <c r="N12" s="254"/>
      <c r="O12" s="225"/>
      <c r="P12" s="9"/>
      <c r="Q12" s="9"/>
      <c r="R12" s="9"/>
      <c r="S12" s="9"/>
      <c r="T12" s="9"/>
      <c r="U12" s="9"/>
      <c r="V12" s="9"/>
    </row>
    <row r="13" spans="1:22" s="23" customFormat="1" ht="276.75" customHeight="1" outlineLevel="1" x14ac:dyDescent="0.25">
      <c r="A13" s="203" t="s">
        <v>302</v>
      </c>
      <c r="B13" s="336" t="s">
        <v>89</v>
      </c>
      <c r="C13" s="339" t="s">
        <v>330</v>
      </c>
      <c r="D13" s="219" t="s">
        <v>9</v>
      </c>
      <c r="E13" s="255">
        <v>100000</v>
      </c>
      <c r="F13" s="298">
        <f>G13+H13+I13+J13</f>
        <v>100000</v>
      </c>
      <c r="G13" s="256">
        <v>100000</v>
      </c>
      <c r="H13" s="256"/>
      <c r="I13" s="256"/>
      <c r="J13" s="257"/>
      <c r="K13" s="289">
        <f>89595+8959.5+1095.95</f>
        <v>99650.45</v>
      </c>
      <c r="L13" s="256">
        <v>26878.5</v>
      </c>
      <c r="M13" s="306" t="s">
        <v>355</v>
      </c>
      <c r="N13" s="308" t="s">
        <v>339</v>
      </c>
      <c r="O13" s="225"/>
    </row>
    <row r="14" spans="1:22" s="23" customFormat="1" ht="307.5" customHeight="1" outlineLevel="1" x14ac:dyDescent="0.25">
      <c r="A14" s="203" t="s">
        <v>302</v>
      </c>
      <c r="B14" s="337"/>
      <c r="C14" s="340"/>
      <c r="D14" s="219" t="s">
        <v>10</v>
      </c>
      <c r="E14" s="255"/>
      <c r="F14" s="298">
        <f t="shared" ref="F14:F69" si="6">G14+H14+I14+J14</f>
        <v>1010</v>
      </c>
      <c r="G14" s="256"/>
      <c r="H14" s="256"/>
      <c r="I14" s="256"/>
      <c r="J14" s="290">
        <v>1010</v>
      </c>
      <c r="K14" s="289">
        <f>905+90.5+11.07</f>
        <v>1006.57</v>
      </c>
      <c r="L14" s="256">
        <v>271.5</v>
      </c>
      <c r="M14" s="307"/>
      <c r="N14" s="308"/>
      <c r="O14" s="225"/>
    </row>
    <row r="15" spans="1:22" s="23" customFormat="1" ht="101.25" customHeight="1" outlineLevel="1" x14ac:dyDescent="0.25">
      <c r="A15" s="203" t="s">
        <v>302</v>
      </c>
      <c r="B15" s="338"/>
      <c r="C15" s="341"/>
      <c r="D15" s="219" t="s">
        <v>10</v>
      </c>
      <c r="E15" s="255"/>
      <c r="F15" s="298">
        <f t="shared" si="6"/>
        <v>1600</v>
      </c>
      <c r="G15" s="256"/>
      <c r="H15" s="256"/>
      <c r="I15" s="256"/>
      <c r="J15" s="257">
        <v>1600</v>
      </c>
      <c r="K15" s="258">
        <v>1600</v>
      </c>
      <c r="L15" s="256">
        <v>1600</v>
      </c>
      <c r="M15" s="283" t="s">
        <v>336</v>
      </c>
      <c r="N15" s="284" t="s">
        <v>344</v>
      </c>
      <c r="O15" s="225"/>
    </row>
    <row r="16" spans="1:22" s="24" customFormat="1" ht="45.75" hidden="1" customHeight="1" outlineLevel="1" x14ac:dyDescent="0.25">
      <c r="A16" s="203" t="s">
        <v>306</v>
      </c>
      <c r="B16" s="229" t="s">
        <v>90</v>
      </c>
      <c r="C16" s="230" t="s">
        <v>301</v>
      </c>
      <c r="D16" s="219" t="s">
        <v>9</v>
      </c>
      <c r="E16" s="260"/>
      <c r="F16" s="299">
        <f t="shared" si="6"/>
        <v>0</v>
      </c>
      <c r="G16" s="191"/>
      <c r="H16" s="191"/>
      <c r="I16" s="191"/>
      <c r="J16" s="199"/>
      <c r="K16" s="215"/>
      <c r="L16" s="191"/>
      <c r="M16" s="261"/>
      <c r="N16" s="262"/>
      <c r="O16" s="225"/>
    </row>
    <row r="17" spans="1:22" s="9" customFormat="1" ht="309.75" customHeight="1" outlineLevel="1" x14ac:dyDescent="0.25">
      <c r="A17" s="203" t="s">
        <v>302</v>
      </c>
      <c r="B17" s="231" t="s">
        <v>91</v>
      </c>
      <c r="C17" s="292" t="s">
        <v>173</v>
      </c>
      <c r="D17" s="219" t="s">
        <v>10</v>
      </c>
      <c r="E17" s="263">
        <v>3500</v>
      </c>
      <c r="F17" s="298">
        <f t="shared" si="6"/>
        <v>16996.13</v>
      </c>
      <c r="G17" s="256">
        <v>16996.13</v>
      </c>
      <c r="H17" s="256"/>
      <c r="I17" s="256"/>
      <c r="J17" s="257"/>
      <c r="K17" s="258">
        <v>15</v>
      </c>
      <c r="L17" s="256"/>
      <c r="M17" s="264" t="s">
        <v>350</v>
      </c>
      <c r="N17" s="262" t="s">
        <v>325</v>
      </c>
      <c r="O17" s="225"/>
    </row>
    <row r="18" spans="1:22" s="192" customFormat="1" ht="128.25" customHeight="1" outlineLevel="1" x14ac:dyDescent="0.25">
      <c r="A18" s="203" t="s">
        <v>302</v>
      </c>
      <c r="B18" s="231" t="s">
        <v>92</v>
      </c>
      <c r="C18" s="230" t="s">
        <v>300</v>
      </c>
      <c r="D18" s="219" t="s">
        <v>10</v>
      </c>
      <c r="E18" s="263"/>
      <c r="F18" s="298">
        <f t="shared" si="6"/>
        <v>9694.23</v>
      </c>
      <c r="G18" s="256"/>
      <c r="H18" s="256"/>
      <c r="I18" s="256">
        <v>9694.23</v>
      </c>
      <c r="J18" s="257"/>
      <c r="K18" s="258">
        <v>9694.23</v>
      </c>
      <c r="L18" s="256"/>
      <c r="M18" s="264" t="s">
        <v>321</v>
      </c>
      <c r="N18" s="262" t="s">
        <v>318</v>
      </c>
      <c r="O18" s="225"/>
      <c r="P18" s="9"/>
      <c r="Q18" s="9"/>
      <c r="R18" s="9"/>
      <c r="S18" s="9"/>
      <c r="T18" s="9"/>
      <c r="U18" s="9"/>
      <c r="V18" s="9"/>
    </row>
    <row r="19" spans="1:22" s="9" customFormat="1" ht="87" hidden="1" customHeight="1" outlineLevel="1" x14ac:dyDescent="0.25">
      <c r="A19" s="203" t="s">
        <v>302</v>
      </c>
      <c r="B19" s="231" t="s">
        <v>94</v>
      </c>
      <c r="C19" s="230" t="s">
        <v>23</v>
      </c>
      <c r="D19" s="219" t="s">
        <v>9</v>
      </c>
      <c r="E19" s="263">
        <v>100000</v>
      </c>
      <c r="F19" s="298">
        <f t="shared" si="6"/>
        <v>0</v>
      </c>
      <c r="G19" s="256"/>
      <c r="H19" s="256"/>
      <c r="I19" s="256"/>
      <c r="J19" s="257"/>
      <c r="K19" s="258"/>
      <c r="L19" s="256"/>
      <c r="M19" s="264"/>
      <c r="N19" s="286" t="s">
        <v>323</v>
      </c>
      <c r="O19" s="225"/>
    </row>
    <row r="20" spans="1:22" s="9" customFormat="1" ht="95.25" hidden="1" customHeight="1" outlineLevel="1" x14ac:dyDescent="0.25">
      <c r="A20" s="203" t="s">
        <v>305</v>
      </c>
      <c r="B20" s="231" t="s">
        <v>95</v>
      </c>
      <c r="C20" s="230" t="s">
        <v>285</v>
      </c>
      <c r="D20" s="219" t="s">
        <v>9</v>
      </c>
      <c r="E20" s="260">
        <v>0</v>
      </c>
      <c r="F20" s="298">
        <f t="shared" si="6"/>
        <v>0</v>
      </c>
      <c r="G20" s="256"/>
      <c r="H20" s="256"/>
      <c r="I20" s="256"/>
      <c r="J20" s="257"/>
      <c r="K20" s="258"/>
      <c r="L20" s="256"/>
      <c r="M20" s="264"/>
      <c r="N20" s="259" t="s">
        <v>313</v>
      </c>
      <c r="O20" s="225"/>
    </row>
    <row r="21" spans="1:22" s="9" customFormat="1" ht="27.75" hidden="1" customHeight="1" outlineLevel="1" x14ac:dyDescent="0.25">
      <c r="A21" s="203" t="s">
        <v>305</v>
      </c>
      <c r="B21" s="314" t="s">
        <v>157</v>
      </c>
      <c r="C21" s="315" t="s">
        <v>149</v>
      </c>
      <c r="D21" s="219" t="s">
        <v>9</v>
      </c>
      <c r="E21" s="260">
        <v>0</v>
      </c>
      <c r="F21" s="298">
        <f t="shared" si="6"/>
        <v>0</v>
      </c>
      <c r="G21" s="256"/>
      <c r="H21" s="256"/>
      <c r="I21" s="256"/>
      <c r="J21" s="257"/>
      <c r="K21" s="258"/>
      <c r="L21" s="256"/>
      <c r="M21" s="309"/>
      <c r="N21" s="330" t="s">
        <v>313</v>
      </c>
      <c r="O21" s="368"/>
    </row>
    <row r="22" spans="1:22" s="9" customFormat="1" ht="36.75" hidden="1" customHeight="1" outlineLevel="1" x14ac:dyDescent="0.25">
      <c r="A22" s="203" t="s">
        <v>305</v>
      </c>
      <c r="B22" s="314"/>
      <c r="C22" s="315"/>
      <c r="D22" s="219" t="s">
        <v>10</v>
      </c>
      <c r="E22" s="260">
        <v>0</v>
      </c>
      <c r="F22" s="298">
        <f t="shared" si="6"/>
        <v>0</v>
      </c>
      <c r="G22" s="256"/>
      <c r="H22" s="256"/>
      <c r="I22" s="256"/>
      <c r="J22" s="257"/>
      <c r="K22" s="258"/>
      <c r="L22" s="256"/>
      <c r="M22" s="310"/>
      <c r="N22" s="330"/>
      <c r="O22" s="368"/>
    </row>
    <row r="23" spans="1:22" s="12" customFormat="1" ht="93.75" hidden="1" customHeight="1" outlineLevel="1" x14ac:dyDescent="0.25">
      <c r="A23" s="203" t="s">
        <v>302</v>
      </c>
      <c r="B23" s="231" t="s">
        <v>178</v>
      </c>
      <c r="C23" s="230" t="s">
        <v>64</v>
      </c>
      <c r="D23" s="219" t="s">
        <v>9</v>
      </c>
      <c r="E23" s="255">
        <v>5000</v>
      </c>
      <c r="F23" s="298">
        <f t="shared" si="6"/>
        <v>0</v>
      </c>
      <c r="G23" s="265"/>
      <c r="H23" s="265"/>
      <c r="I23" s="265"/>
      <c r="J23" s="266"/>
      <c r="K23" s="267"/>
      <c r="L23" s="265"/>
      <c r="M23" s="268"/>
      <c r="N23" s="269" t="s">
        <v>340</v>
      </c>
      <c r="O23" s="225"/>
    </row>
    <row r="24" spans="1:22" s="192" customFormat="1" ht="116.25" hidden="1" customHeight="1" outlineLevel="1" x14ac:dyDescent="0.25">
      <c r="A24" s="203" t="s">
        <v>302</v>
      </c>
      <c r="B24" s="314" t="s">
        <v>96</v>
      </c>
      <c r="C24" s="315" t="s">
        <v>27</v>
      </c>
      <c r="D24" s="219" t="s">
        <v>9</v>
      </c>
      <c r="E24" s="270"/>
      <c r="F24" s="298">
        <f t="shared" si="6"/>
        <v>0</v>
      </c>
      <c r="G24" s="256"/>
      <c r="H24" s="256"/>
      <c r="I24" s="256"/>
      <c r="J24" s="257"/>
      <c r="K24" s="258"/>
      <c r="L24" s="256"/>
      <c r="M24" s="309"/>
      <c r="N24" s="328" t="s">
        <v>348</v>
      </c>
      <c r="O24" s="368"/>
      <c r="P24" s="9"/>
      <c r="Q24" s="9"/>
      <c r="R24" s="9"/>
      <c r="S24" s="9"/>
      <c r="T24" s="9"/>
      <c r="U24" s="9"/>
      <c r="V24" s="9"/>
    </row>
    <row r="25" spans="1:22" s="192" customFormat="1" ht="184.5" hidden="1" customHeight="1" outlineLevel="1" x14ac:dyDescent="0.25">
      <c r="A25" s="203" t="s">
        <v>302</v>
      </c>
      <c r="B25" s="314"/>
      <c r="C25" s="315"/>
      <c r="D25" s="219" t="s">
        <v>10</v>
      </c>
      <c r="E25" s="270"/>
      <c r="F25" s="298">
        <f t="shared" si="6"/>
        <v>0</v>
      </c>
      <c r="G25" s="256"/>
      <c r="H25" s="256"/>
      <c r="I25" s="256"/>
      <c r="J25" s="257"/>
      <c r="K25" s="258"/>
      <c r="L25" s="256"/>
      <c r="M25" s="310"/>
      <c r="N25" s="329"/>
      <c r="O25" s="368"/>
      <c r="P25" s="9"/>
      <c r="Q25" s="9"/>
      <c r="R25" s="9"/>
      <c r="S25" s="9"/>
      <c r="T25" s="9"/>
      <c r="U25" s="9"/>
      <c r="V25" s="9"/>
    </row>
    <row r="26" spans="1:22" s="9" customFormat="1" ht="144.75" hidden="1" customHeight="1" outlineLevel="1" x14ac:dyDescent="0.25">
      <c r="A26" s="203" t="s">
        <v>302</v>
      </c>
      <c r="B26" s="231" t="s">
        <v>98</v>
      </c>
      <c r="C26" s="230" t="s">
        <v>31</v>
      </c>
      <c r="D26" s="219" t="s">
        <v>9</v>
      </c>
      <c r="E26" s="270">
        <v>22600</v>
      </c>
      <c r="F26" s="298">
        <f t="shared" si="6"/>
        <v>0</v>
      </c>
      <c r="G26" s="256"/>
      <c r="H26" s="256"/>
      <c r="I26" s="256"/>
      <c r="J26" s="257"/>
      <c r="K26" s="258"/>
      <c r="L26" s="256"/>
      <c r="M26" s="264"/>
      <c r="N26" s="287" t="s">
        <v>341</v>
      </c>
      <c r="O26" s="225"/>
    </row>
    <row r="27" spans="1:22" s="192" customFormat="1" ht="97.5" customHeight="1" outlineLevel="1" x14ac:dyDescent="0.25">
      <c r="A27" s="203" t="s">
        <v>302</v>
      </c>
      <c r="B27" s="314" t="s">
        <v>99</v>
      </c>
      <c r="C27" s="370" t="s">
        <v>33</v>
      </c>
      <c r="D27" s="219" t="s">
        <v>9</v>
      </c>
      <c r="E27" s="255"/>
      <c r="F27" s="298">
        <f t="shared" si="6"/>
        <v>22410.9</v>
      </c>
      <c r="G27" s="256"/>
      <c r="H27" s="256"/>
      <c r="I27" s="256">
        <v>22410.9</v>
      </c>
      <c r="J27" s="257"/>
      <c r="K27" s="256">
        <v>22410.9</v>
      </c>
      <c r="L27" s="256">
        <v>22410.9</v>
      </c>
      <c r="M27" s="309" t="s">
        <v>326</v>
      </c>
      <c r="N27" s="304"/>
      <c r="O27" s="225"/>
      <c r="P27" s="9"/>
      <c r="Q27" s="9"/>
      <c r="R27" s="9"/>
      <c r="S27" s="9"/>
      <c r="T27" s="9"/>
      <c r="U27" s="9"/>
      <c r="V27" s="9"/>
    </row>
    <row r="28" spans="1:22" s="192" customFormat="1" ht="111.75" customHeight="1" outlineLevel="1" x14ac:dyDescent="0.25">
      <c r="A28" s="203" t="s">
        <v>302</v>
      </c>
      <c r="B28" s="314"/>
      <c r="C28" s="370"/>
      <c r="D28" s="219" t="s">
        <v>10</v>
      </c>
      <c r="E28" s="255"/>
      <c r="F28" s="298">
        <f t="shared" si="6"/>
        <v>22.43</v>
      </c>
      <c r="G28" s="256"/>
      <c r="H28" s="256"/>
      <c r="I28" s="256">
        <v>22.43</v>
      </c>
      <c r="J28" s="257"/>
      <c r="K28" s="256">
        <v>22.43</v>
      </c>
      <c r="L28" s="256">
        <v>22.43</v>
      </c>
      <c r="M28" s="310"/>
      <c r="N28" s="305"/>
      <c r="O28" s="225"/>
      <c r="P28" s="9"/>
      <c r="Q28" s="9"/>
      <c r="R28" s="9"/>
      <c r="S28" s="9"/>
      <c r="T28" s="9"/>
      <c r="U28" s="9"/>
      <c r="V28" s="9"/>
    </row>
    <row r="29" spans="1:22" s="9" customFormat="1" ht="36" customHeight="1" outlineLevel="1" x14ac:dyDescent="0.25">
      <c r="A29" s="203" t="s">
        <v>302</v>
      </c>
      <c r="B29" s="314" t="s">
        <v>100</v>
      </c>
      <c r="C29" s="370" t="s">
        <v>34</v>
      </c>
      <c r="D29" s="219" t="s">
        <v>9</v>
      </c>
      <c r="E29" s="255">
        <v>107346.9</v>
      </c>
      <c r="F29" s="298">
        <f t="shared" si="6"/>
        <v>107000</v>
      </c>
      <c r="G29" s="256">
        <v>107000</v>
      </c>
      <c r="H29" s="256"/>
      <c r="I29" s="256"/>
      <c r="J29" s="257"/>
      <c r="K29" s="258"/>
      <c r="L29" s="256"/>
      <c r="M29" s="309" t="s">
        <v>356</v>
      </c>
      <c r="N29" s="313" t="s">
        <v>345</v>
      </c>
      <c r="O29" s="368"/>
    </row>
    <row r="30" spans="1:22" s="9" customFormat="1" ht="34.5" customHeight="1" outlineLevel="1" x14ac:dyDescent="0.25">
      <c r="A30" s="203" t="s">
        <v>302</v>
      </c>
      <c r="B30" s="314"/>
      <c r="C30" s="370"/>
      <c r="D30" s="219" t="s">
        <v>10</v>
      </c>
      <c r="E30" s="255">
        <v>1073.5</v>
      </c>
      <c r="F30" s="298">
        <f>G30+H30+I30+J30</f>
        <v>0</v>
      </c>
      <c r="G30" s="256">
        <f>681.38-681.38</f>
        <v>0</v>
      </c>
      <c r="H30" s="256"/>
      <c r="I30" s="256"/>
      <c r="J30" s="257"/>
      <c r="K30" s="258"/>
      <c r="L30" s="256"/>
      <c r="M30" s="310"/>
      <c r="N30" s="313"/>
      <c r="O30" s="368"/>
    </row>
    <row r="31" spans="1:22" s="192" customFormat="1" ht="67.5" hidden="1" customHeight="1" outlineLevel="1" x14ac:dyDescent="0.25">
      <c r="A31" s="203" t="s">
        <v>302</v>
      </c>
      <c r="B31" s="314" t="s">
        <v>101</v>
      </c>
      <c r="C31" s="370" t="s">
        <v>36</v>
      </c>
      <c r="D31" s="219" t="s">
        <v>9</v>
      </c>
      <c r="E31" s="255"/>
      <c r="F31" s="298">
        <f t="shared" si="6"/>
        <v>0</v>
      </c>
      <c r="G31" s="256"/>
      <c r="H31" s="256"/>
      <c r="I31" s="256"/>
      <c r="J31" s="257"/>
      <c r="K31" s="258"/>
      <c r="L31" s="256"/>
      <c r="M31" s="309"/>
      <c r="N31" s="308" t="s">
        <v>320</v>
      </c>
      <c r="O31" s="368"/>
      <c r="P31" s="9"/>
      <c r="Q31" s="9"/>
      <c r="R31" s="9"/>
      <c r="S31" s="9"/>
      <c r="T31" s="9"/>
      <c r="U31" s="9"/>
      <c r="V31" s="9"/>
    </row>
    <row r="32" spans="1:22" s="192" customFormat="1" ht="57.75" hidden="1" customHeight="1" outlineLevel="1" x14ac:dyDescent="0.25">
      <c r="A32" s="203" t="s">
        <v>302</v>
      </c>
      <c r="B32" s="314"/>
      <c r="C32" s="370"/>
      <c r="D32" s="219" t="s">
        <v>10</v>
      </c>
      <c r="E32" s="255"/>
      <c r="F32" s="298">
        <f t="shared" si="6"/>
        <v>0</v>
      </c>
      <c r="G32" s="256"/>
      <c r="H32" s="256"/>
      <c r="I32" s="256"/>
      <c r="J32" s="257"/>
      <c r="K32" s="258"/>
      <c r="L32" s="256"/>
      <c r="M32" s="310"/>
      <c r="N32" s="308"/>
      <c r="O32" s="368"/>
      <c r="P32" s="9"/>
      <c r="Q32" s="9"/>
      <c r="R32" s="9"/>
      <c r="S32" s="9"/>
      <c r="T32" s="9"/>
      <c r="U32" s="9"/>
      <c r="V32" s="9"/>
    </row>
    <row r="33" spans="1:22" s="9" customFormat="1" ht="75.75" hidden="1" customHeight="1" outlineLevel="1" x14ac:dyDescent="0.25">
      <c r="A33" s="203" t="s">
        <v>307</v>
      </c>
      <c r="B33" s="231" t="s">
        <v>165</v>
      </c>
      <c r="C33" s="230" t="s">
        <v>150</v>
      </c>
      <c r="D33" s="219" t="s">
        <v>9</v>
      </c>
      <c r="E33" s="260">
        <v>0</v>
      </c>
      <c r="F33" s="298">
        <f t="shared" si="6"/>
        <v>0</v>
      </c>
      <c r="G33" s="256"/>
      <c r="H33" s="256"/>
      <c r="I33" s="256"/>
      <c r="J33" s="257"/>
      <c r="K33" s="258"/>
      <c r="L33" s="256"/>
      <c r="M33" s="264"/>
      <c r="N33" s="259" t="s">
        <v>313</v>
      </c>
      <c r="O33" s="228"/>
    </row>
    <row r="34" spans="1:22" s="9" customFormat="1" ht="78.75" hidden="1" customHeight="1" outlineLevel="1" x14ac:dyDescent="0.25">
      <c r="A34" s="203" t="s">
        <v>307</v>
      </c>
      <c r="B34" s="314" t="s">
        <v>102</v>
      </c>
      <c r="C34" s="315" t="s">
        <v>162</v>
      </c>
      <c r="D34" s="219" t="s">
        <v>9</v>
      </c>
      <c r="E34" s="260">
        <v>0</v>
      </c>
      <c r="F34" s="298">
        <f t="shared" si="6"/>
        <v>0</v>
      </c>
      <c r="G34" s="256">
        <f>20700-20700</f>
        <v>0</v>
      </c>
      <c r="H34" s="256"/>
      <c r="I34" s="256"/>
      <c r="J34" s="257"/>
      <c r="K34" s="258"/>
      <c r="L34" s="256"/>
      <c r="M34" s="309"/>
      <c r="N34" s="308" t="s">
        <v>317</v>
      </c>
      <c r="O34" s="228"/>
    </row>
    <row r="35" spans="1:22" s="9" customFormat="1" ht="79.5" hidden="1" customHeight="1" outlineLevel="1" x14ac:dyDescent="0.25">
      <c r="A35" s="203" t="s">
        <v>307</v>
      </c>
      <c r="B35" s="314"/>
      <c r="C35" s="315"/>
      <c r="D35" s="219" t="s">
        <v>10</v>
      </c>
      <c r="E35" s="260">
        <v>0</v>
      </c>
      <c r="F35" s="298">
        <v>0</v>
      </c>
      <c r="G35" s="256">
        <v>0</v>
      </c>
      <c r="H35" s="256"/>
      <c r="I35" s="256"/>
      <c r="J35" s="257"/>
      <c r="K35" s="258"/>
      <c r="L35" s="256"/>
      <c r="M35" s="310"/>
      <c r="N35" s="308"/>
      <c r="O35" s="225"/>
    </row>
    <row r="36" spans="1:22" s="23" customFormat="1" ht="169.5" hidden="1" customHeight="1" outlineLevel="1" x14ac:dyDescent="0.25">
      <c r="A36" s="203" t="s">
        <v>302</v>
      </c>
      <c r="B36" s="231" t="s">
        <v>103</v>
      </c>
      <c r="C36" s="230" t="s">
        <v>187</v>
      </c>
      <c r="D36" s="219" t="s">
        <v>11</v>
      </c>
      <c r="E36" s="255">
        <v>5700</v>
      </c>
      <c r="F36" s="299">
        <f t="shared" si="6"/>
        <v>0</v>
      </c>
      <c r="G36" s="191"/>
      <c r="H36" s="191"/>
      <c r="I36" s="191"/>
      <c r="J36" s="199"/>
      <c r="K36" s="215"/>
      <c r="L36" s="191"/>
      <c r="M36" s="261"/>
      <c r="N36" s="281" t="s">
        <v>332</v>
      </c>
      <c r="O36" s="225"/>
    </row>
    <row r="37" spans="1:22" s="23" customFormat="1" ht="117" hidden="1" customHeight="1" outlineLevel="1" x14ac:dyDescent="0.25">
      <c r="A37" s="203" t="s">
        <v>302</v>
      </c>
      <c r="B37" s="231" t="s">
        <v>104</v>
      </c>
      <c r="C37" s="230" t="s">
        <v>75</v>
      </c>
      <c r="D37" s="220" t="s">
        <v>11</v>
      </c>
      <c r="E37" s="255">
        <f>19960.07985+165.80943+33053.22362+23301.97208+538.52586+13566.55534+8519.90391+159.05609+25980.99511+16316.27015+304.60462+16489.45674+10355.50908+193.32457</f>
        <v>168905.28644999999</v>
      </c>
      <c r="F37" s="299">
        <f t="shared" si="6"/>
        <v>0</v>
      </c>
      <c r="G37" s="191"/>
      <c r="H37" s="191"/>
      <c r="I37" s="191"/>
      <c r="J37" s="199"/>
      <c r="K37" s="215"/>
      <c r="L37" s="191"/>
      <c r="M37" s="261"/>
      <c r="N37" s="281" t="s">
        <v>327</v>
      </c>
      <c r="O37" s="225"/>
    </row>
    <row r="38" spans="1:22" s="18" customFormat="1" ht="87" customHeight="1" outlineLevel="1" x14ac:dyDescent="0.25">
      <c r="A38" s="203" t="s">
        <v>302</v>
      </c>
      <c r="B38" s="282" t="s">
        <v>105</v>
      </c>
      <c r="C38" s="292" t="s">
        <v>334</v>
      </c>
      <c r="D38" s="219" t="s">
        <v>10</v>
      </c>
      <c r="E38" s="271"/>
      <c r="F38" s="298">
        <f t="shared" si="6"/>
        <v>6750</v>
      </c>
      <c r="G38" s="256"/>
      <c r="H38" s="256">
        <f>6750</f>
        <v>6750</v>
      </c>
      <c r="I38" s="191"/>
      <c r="J38" s="199"/>
      <c r="K38" s="215"/>
      <c r="L38" s="191"/>
      <c r="M38" s="264" t="s">
        <v>357</v>
      </c>
      <c r="N38" s="262" t="s">
        <v>331</v>
      </c>
      <c r="O38" s="225"/>
    </row>
    <row r="39" spans="1:22" s="18" customFormat="1" ht="27.75" hidden="1" customHeight="1" outlineLevel="1" x14ac:dyDescent="0.25">
      <c r="A39" s="203" t="s">
        <v>302</v>
      </c>
      <c r="B39" s="314" t="s">
        <v>106</v>
      </c>
      <c r="C39" s="315" t="s">
        <v>296</v>
      </c>
      <c r="D39" s="219" t="s">
        <v>9</v>
      </c>
      <c r="E39" s="271">
        <v>55715.13</v>
      </c>
      <c r="F39" s="299">
        <f t="shared" si="6"/>
        <v>0</v>
      </c>
      <c r="G39" s="191"/>
      <c r="H39" s="191"/>
      <c r="I39" s="191"/>
      <c r="J39" s="199"/>
      <c r="K39" s="215"/>
      <c r="L39" s="191"/>
      <c r="M39" s="311"/>
      <c r="N39" s="308" t="s">
        <v>314</v>
      </c>
      <c r="O39" s="225"/>
    </row>
    <row r="40" spans="1:22" s="18" customFormat="1" ht="27.75" hidden="1" customHeight="1" outlineLevel="1" x14ac:dyDescent="0.25">
      <c r="A40" s="203" t="s">
        <v>302</v>
      </c>
      <c r="B40" s="314"/>
      <c r="C40" s="315"/>
      <c r="D40" s="219" t="s">
        <v>10</v>
      </c>
      <c r="E40" s="271">
        <v>562.77909090909088</v>
      </c>
      <c r="F40" s="299">
        <f t="shared" si="6"/>
        <v>0</v>
      </c>
      <c r="G40" s="191"/>
      <c r="H40" s="191"/>
      <c r="I40" s="191"/>
      <c r="J40" s="199"/>
      <c r="K40" s="215"/>
      <c r="L40" s="191"/>
      <c r="M40" s="312"/>
      <c r="N40" s="308"/>
      <c r="O40" s="225"/>
    </row>
    <row r="41" spans="1:22" s="9" customFormat="1" ht="71.25" hidden="1" customHeight="1" outlineLevel="1" x14ac:dyDescent="0.25">
      <c r="A41" s="203" t="s">
        <v>306</v>
      </c>
      <c r="B41" s="229" t="s">
        <v>158</v>
      </c>
      <c r="C41" s="230" t="s">
        <v>151</v>
      </c>
      <c r="D41" s="219" t="s">
        <v>9</v>
      </c>
      <c r="E41" s="255">
        <v>0</v>
      </c>
      <c r="F41" s="298">
        <f t="shared" si="6"/>
        <v>0</v>
      </c>
      <c r="G41" s="256"/>
      <c r="H41" s="256"/>
      <c r="I41" s="256"/>
      <c r="J41" s="257"/>
      <c r="K41" s="258"/>
      <c r="L41" s="256"/>
      <c r="M41" s="264"/>
      <c r="N41" s="262"/>
      <c r="O41" s="225"/>
    </row>
    <row r="42" spans="1:22" s="9" customFormat="1" ht="86.25" hidden="1" customHeight="1" outlineLevel="1" x14ac:dyDescent="0.25">
      <c r="A42" s="203" t="s">
        <v>305</v>
      </c>
      <c r="B42" s="229" t="s">
        <v>85</v>
      </c>
      <c r="C42" s="230" t="s">
        <v>168</v>
      </c>
      <c r="D42" s="219" t="s">
        <v>10</v>
      </c>
      <c r="E42" s="260"/>
      <c r="F42" s="298">
        <v>0</v>
      </c>
      <c r="G42" s="256"/>
      <c r="H42" s="256"/>
      <c r="I42" s="256">
        <v>0</v>
      </c>
      <c r="J42" s="257"/>
      <c r="K42" s="258"/>
      <c r="L42" s="256"/>
      <c r="M42" s="264"/>
      <c r="N42" s="262" t="s">
        <v>290</v>
      </c>
      <c r="O42" s="225"/>
    </row>
    <row r="43" spans="1:22" s="9" customFormat="1" ht="27" hidden="1" customHeight="1" outlineLevel="1" x14ac:dyDescent="0.25">
      <c r="A43" s="203" t="s">
        <v>305</v>
      </c>
      <c r="B43" s="333" t="s">
        <v>86</v>
      </c>
      <c r="C43" s="315" t="s">
        <v>297</v>
      </c>
      <c r="D43" s="219" t="s">
        <v>9</v>
      </c>
      <c r="E43" s="260">
        <v>0</v>
      </c>
      <c r="F43" s="298">
        <f t="shared" si="6"/>
        <v>0</v>
      </c>
      <c r="G43" s="256"/>
      <c r="H43" s="256"/>
      <c r="I43" s="256"/>
      <c r="J43" s="257"/>
      <c r="K43" s="258"/>
      <c r="L43" s="256"/>
      <c r="M43" s="309"/>
      <c r="N43" s="308" t="s">
        <v>287</v>
      </c>
      <c r="O43" s="368"/>
    </row>
    <row r="44" spans="1:22" s="9" customFormat="1" ht="38.25" hidden="1" customHeight="1" outlineLevel="1" x14ac:dyDescent="0.25">
      <c r="A44" s="203" t="s">
        <v>305</v>
      </c>
      <c r="B44" s="333"/>
      <c r="C44" s="315"/>
      <c r="D44" s="219" t="s">
        <v>10</v>
      </c>
      <c r="E44" s="260"/>
      <c r="F44" s="298">
        <v>0</v>
      </c>
      <c r="G44" s="256"/>
      <c r="H44" s="256"/>
      <c r="I44" s="256">
        <v>0</v>
      </c>
      <c r="J44" s="257"/>
      <c r="K44" s="258"/>
      <c r="L44" s="256"/>
      <c r="M44" s="310"/>
      <c r="N44" s="308"/>
      <c r="O44" s="368"/>
    </row>
    <row r="45" spans="1:22" s="9" customFormat="1" ht="58.5" hidden="1" customHeight="1" outlineLevel="1" x14ac:dyDescent="0.25">
      <c r="A45" s="203" t="s">
        <v>306</v>
      </c>
      <c r="B45" s="229" t="s">
        <v>159</v>
      </c>
      <c r="C45" s="230" t="s">
        <v>152</v>
      </c>
      <c r="D45" s="219" t="s">
        <v>9</v>
      </c>
      <c r="E45" s="260">
        <v>0</v>
      </c>
      <c r="F45" s="298">
        <f t="shared" si="6"/>
        <v>0</v>
      </c>
      <c r="G45" s="256"/>
      <c r="H45" s="256"/>
      <c r="I45" s="256"/>
      <c r="J45" s="257"/>
      <c r="K45" s="258"/>
      <c r="L45" s="256"/>
      <c r="M45" s="264"/>
      <c r="N45" s="262" t="s">
        <v>292</v>
      </c>
      <c r="O45" s="225"/>
    </row>
    <row r="46" spans="1:22" s="9" customFormat="1" ht="33" hidden="1" customHeight="1" outlineLevel="1" x14ac:dyDescent="0.25">
      <c r="A46" s="203" t="s">
        <v>305</v>
      </c>
      <c r="B46" s="333" t="s">
        <v>160</v>
      </c>
      <c r="C46" s="315" t="s">
        <v>153</v>
      </c>
      <c r="D46" s="219" t="s">
        <v>9</v>
      </c>
      <c r="E46" s="260">
        <v>0</v>
      </c>
      <c r="F46" s="298">
        <f t="shared" si="6"/>
        <v>0</v>
      </c>
      <c r="G46" s="256"/>
      <c r="H46" s="256"/>
      <c r="I46" s="256"/>
      <c r="J46" s="257"/>
      <c r="K46" s="258"/>
      <c r="L46" s="256"/>
      <c r="M46" s="309"/>
      <c r="N46" s="308" t="s">
        <v>288</v>
      </c>
      <c r="O46" s="368"/>
    </row>
    <row r="47" spans="1:22" s="9" customFormat="1" ht="47.25" hidden="1" customHeight="1" outlineLevel="1" x14ac:dyDescent="0.25">
      <c r="A47" s="203" t="s">
        <v>319</v>
      </c>
      <c r="B47" s="333"/>
      <c r="C47" s="315"/>
      <c r="D47" s="219" t="s">
        <v>10</v>
      </c>
      <c r="E47" s="260"/>
      <c r="F47" s="298">
        <v>0</v>
      </c>
      <c r="G47" s="256"/>
      <c r="H47" s="256"/>
      <c r="I47" s="256">
        <v>0</v>
      </c>
      <c r="J47" s="257"/>
      <c r="K47" s="258"/>
      <c r="L47" s="256"/>
      <c r="M47" s="310"/>
      <c r="N47" s="308"/>
      <c r="O47" s="368"/>
    </row>
    <row r="48" spans="1:22" s="192" customFormat="1" ht="189.75" customHeight="1" outlineLevel="1" x14ac:dyDescent="0.25">
      <c r="A48" s="203" t="s">
        <v>302</v>
      </c>
      <c r="B48" s="314" t="s">
        <v>161</v>
      </c>
      <c r="C48" s="315" t="s">
        <v>298</v>
      </c>
      <c r="D48" s="219" t="s">
        <v>9</v>
      </c>
      <c r="E48" s="255"/>
      <c r="F48" s="298">
        <f t="shared" si="6"/>
        <v>11685.2</v>
      </c>
      <c r="G48" s="256"/>
      <c r="H48" s="256"/>
      <c r="I48" s="256">
        <v>11685.2</v>
      </c>
      <c r="J48" s="257"/>
      <c r="K48" s="258">
        <f>10499.8-1.17+662.03</f>
        <v>11160.66</v>
      </c>
      <c r="L48" s="256">
        <f>3148.77</f>
        <v>3148.77</v>
      </c>
      <c r="M48" s="433" t="s">
        <v>349</v>
      </c>
      <c r="N48" s="331" t="s">
        <v>324</v>
      </c>
      <c r="O48" s="368"/>
      <c r="P48" s="9"/>
      <c r="Q48" s="9"/>
      <c r="R48" s="9"/>
      <c r="S48" s="9"/>
      <c r="T48" s="9"/>
      <c r="U48" s="9"/>
      <c r="V48" s="9"/>
    </row>
    <row r="49" spans="1:22" s="192" customFormat="1" ht="263.25" customHeight="1" outlineLevel="1" x14ac:dyDescent="0.25">
      <c r="A49" s="203" t="s">
        <v>302</v>
      </c>
      <c r="B49" s="314"/>
      <c r="C49" s="315"/>
      <c r="D49" s="219" t="s">
        <v>10</v>
      </c>
      <c r="E49" s="255"/>
      <c r="F49" s="298">
        <f t="shared" si="6"/>
        <v>201.17</v>
      </c>
      <c r="G49" s="256"/>
      <c r="H49" s="256"/>
      <c r="I49" s="256">
        <f>1.17+200</f>
        <v>201.17</v>
      </c>
      <c r="J49" s="257"/>
      <c r="K49" s="258">
        <f>200+1.17</f>
        <v>201.17</v>
      </c>
      <c r="L49" s="256">
        <f>200+1.17</f>
        <v>201.17</v>
      </c>
      <c r="M49" s="434"/>
      <c r="N49" s="331"/>
      <c r="O49" s="368"/>
      <c r="P49" s="9"/>
      <c r="Q49" s="9"/>
      <c r="R49" s="9"/>
      <c r="S49" s="9"/>
      <c r="T49" s="9"/>
      <c r="U49" s="9"/>
      <c r="V49" s="9"/>
    </row>
    <row r="50" spans="1:22" s="9" customFormat="1" ht="56.25" hidden="1" customHeight="1" outlineLevel="1" x14ac:dyDescent="0.25">
      <c r="A50" s="203" t="s">
        <v>302</v>
      </c>
      <c r="B50" s="231" t="s">
        <v>80</v>
      </c>
      <c r="C50" s="230" t="s">
        <v>60</v>
      </c>
      <c r="D50" s="219" t="s">
        <v>9</v>
      </c>
      <c r="E50" s="255">
        <v>78000</v>
      </c>
      <c r="F50" s="298">
        <f t="shared" si="6"/>
        <v>0</v>
      </c>
      <c r="G50" s="256"/>
      <c r="H50" s="256"/>
      <c r="I50" s="256"/>
      <c r="J50" s="257"/>
      <c r="K50" s="258"/>
      <c r="L50" s="256"/>
      <c r="M50" s="264"/>
      <c r="N50" s="262" t="s">
        <v>335</v>
      </c>
      <c r="O50" s="225"/>
    </row>
    <row r="51" spans="1:22" s="192" customFormat="1" ht="86.25" customHeight="1" outlineLevel="1" x14ac:dyDescent="0.25">
      <c r="A51" s="203" t="s">
        <v>302</v>
      </c>
      <c r="B51" s="231" t="s">
        <v>81</v>
      </c>
      <c r="C51" s="230" t="s">
        <v>61</v>
      </c>
      <c r="D51" s="219" t="s">
        <v>10</v>
      </c>
      <c r="E51" s="255"/>
      <c r="F51" s="298">
        <f t="shared" si="6"/>
        <v>3193.67</v>
      </c>
      <c r="G51" s="256"/>
      <c r="H51" s="256"/>
      <c r="I51" s="256">
        <v>3193.67</v>
      </c>
      <c r="J51" s="257"/>
      <c r="K51" s="256">
        <v>3193.67</v>
      </c>
      <c r="L51" s="256"/>
      <c r="M51" s="435" t="s">
        <v>322</v>
      </c>
      <c r="N51" s="262" t="s">
        <v>342</v>
      </c>
      <c r="O51" s="225"/>
      <c r="P51" s="9"/>
      <c r="Q51" s="9"/>
      <c r="R51" s="9"/>
      <c r="S51" s="9"/>
      <c r="T51" s="9"/>
      <c r="U51" s="9"/>
      <c r="V51" s="9"/>
    </row>
    <row r="52" spans="1:22" s="9" customFormat="1" ht="101.25" hidden="1" customHeight="1" outlineLevel="1" x14ac:dyDescent="0.25">
      <c r="A52" s="203" t="s">
        <v>302</v>
      </c>
      <c r="B52" s="314" t="s">
        <v>82</v>
      </c>
      <c r="C52" s="315" t="s">
        <v>62</v>
      </c>
      <c r="D52" s="219" t="s">
        <v>9</v>
      </c>
      <c r="E52" s="255">
        <v>15000</v>
      </c>
      <c r="F52" s="298">
        <f t="shared" si="6"/>
        <v>0</v>
      </c>
      <c r="G52" s="256"/>
      <c r="H52" s="256"/>
      <c r="I52" s="256"/>
      <c r="J52" s="257"/>
      <c r="K52" s="258"/>
      <c r="L52" s="256"/>
      <c r="M52" s="309"/>
      <c r="N52" s="308" t="s">
        <v>328</v>
      </c>
      <c r="O52" s="369"/>
    </row>
    <row r="53" spans="1:22" s="9" customFormat="1" ht="95.25" hidden="1" customHeight="1" outlineLevel="1" x14ac:dyDescent="0.25">
      <c r="A53" s="203" t="s">
        <v>302</v>
      </c>
      <c r="B53" s="314"/>
      <c r="C53" s="315"/>
      <c r="D53" s="219" t="s">
        <v>10</v>
      </c>
      <c r="E53" s="255">
        <v>150</v>
      </c>
      <c r="F53" s="298">
        <f t="shared" si="6"/>
        <v>0</v>
      </c>
      <c r="G53" s="256"/>
      <c r="H53" s="256"/>
      <c r="I53" s="256"/>
      <c r="J53" s="257"/>
      <c r="K53" s="258"/>
      <c r="L53" s="256"/>
      <c r="M53" s="310"/>
      <c r="N53" s="308"/>
      <c r="O53" s="369"/>
    </row>
    <row r="54" spans="1:22" s="25" customFormat="1" ht="50.25" customHeight="1" outlineLevel="1" x14ac:dyDescent="0.25">
      <c r="A54" s="203" t="s">
        <v>302</v>
      </c>
      <c r="B54" s="314" t="s">
        <v>84</v>
      </c>
      <c r="C54" s="315" t="s">
        <v>67</v>
      </c>
      <c r="D54" s="219" t="s">
        <v>9</v>
      </c>
      <c r="E54" s="260">
        <v>5000</v>
      </c>
      <c r="F54" s="300">
        <f t="shared" si="6"/>
        <v>2537.14</v>
      </c>
      <c r="G54" s="272">
        <v>2537.14</v>
      </c>
      <c r="H54" s="272"/>
      <c r="I54" s="272"/>
      <c r="J54" s="273"/>
      <c r="K54" s="274">
        <v>2175.02</v>
      </c>
      <c r="L54" s="272">
        <f>698.4+1476.62</f>
        <v>2175.02</v>
      </c>
      <c r="M54" s="309" t="s">
        <v>337</v>
      </c>
      <c r="N54" s="332" t="s">
        <v>351</v>
      </c>
      <c r="O54" s="368"/>
      <c r="P54" s="41"/>
      <c r="Q54" s="41"/>
      <c r="R54" s="41"/>
      <c r="S54" s="41"/>
      <c r="T54" s="41"/>
      <c r="U54" s="41"/>
      <c r="V54" s="41"/>
    </row>
    <row r="55" spans="1:22" s="25" customFormat="1" ht="66.75" customHeight="1" outlineLevel="1" x14ac:dyDescent="0.25">
      <c r="A55" s="203" t="s">
        <v>302</v>
      </c>
      <c r="B55" s="314"/>
      <c r="C55" s="315"/>
      <c r="D55" s="219" t="s">
        <v>10</v>
      </c>
      <c r="E55" s="260"/>
      <c r="F55" s="300">
        <f t="shared" si="6"/>
        <v>9.85</v>
      </c>
      <c r="G55" s="272"/>
      <c r="H55" s="272"/>
      <c r="I55" s="272"/>
      <c r="J55" s="291">
        <v>9.85</v>
      </c>
      <c r="K55" s="274">
        <v>21.97</v>
      </c>
      <c r="L55" s="272">
        <f>12.12+9.85</f>
        <v>21.97</v>
      </c>
      <c r="M55" s="310"/>
      <c r="N55" s="332"/>
      <c r="O55" s="368"/>
      <c r="P55" s="41"/>
      <c r="Q55" s="41"/>
      <c r="R55" s="41"/>
      <c r="S55" s="41"/>
      <c r="T55" s="41"/>
      <c r="U55" s="41"/>
      <c r="V55" s="41"/>
    </row>
    <row r="56" spans="1:22" s="227" customFormat="1" ht="25.5" customHeight="1" collapsed="1" x14ac:dyDescent="0.25">
      <c r="A56" s="226"/>
      <c r="B56" s="316" t="s">
        <v>316</v>
      </c>
      <c r="C56" s="317"/>
      <c r="D56" s="318"/>
      <c r="E56" s="248">
        <f>SUM(E57:E69)</f>
        <v>117848.36</v>
      </c>
      <c r="F56" s="297">
        <f t="shared" ref="F56:L56" si="7">SUM(F57:F69)</f>
        <v>55474.42</v>
      </c>
      <c r="G56" s="249">
        <f t="shared" si="7"/>
        <v>22714.309999999998</v>
      </c>
      <c r="H56" s="249">
        <f t="shared" si="7"/>
        <v>35250</v>
      </c>
      <c r="I56" s="249">
        <f t="shared" si="7"/>
        <v>0</v>
      </c>
      <c r="J56" s="250">
        <f t="shared" si="7"/>
        <v>0</v>
      </c>
      <c r="K56" s="251">
        <f t="shared" si="7"/>
        <v>25714</v>
      </c>
      <c r="L56" s="252">
        <f t="shared" si="7"/>
        <v>0</v>
      </c>
      <c r="M56" s="253"/>
      <c r="N56" s="254"/>
      <c r="O56" s="225"/>
      <c r="P56" s="9"/>
      <c r="Q56" s="9"/>
      <c r="R56" s="9"/>
      <c r="S56" s="9"/>
      <c r="T56" s="9"/>
      <c r="U56" s="9"/>
      <c r="V56" s="9"/>
    </row>
    <row r="57" spans="1:22" s="9" customFormat="1" ht="73.5" hidden="1" customHeight="1" outlineLevel="1" x14ac:dyDescent="0.25">
      <c r="A57" s="203" t="s">
        <v>307</v>
      </c>
      <c r="B57" s="231" t="s">
        <v>264</v>
      </c>
      <c r="C57" s="230" t="s">
        <v>303</v>
      </c>
      <c r="D57" s="219" t="s">
        <v>9</v>
      </c>
      <c r="E57" s="263">
        <v>0</v>
      </c>
      <c r="F57" s="298">
        <f t="shared" ref="F57:F65" si="8">G57+H57+I57+J57</f>
        <v>0</v>
      </c>
      <c r="G57" s="256"/>
      <c r="H57" s="256"/>
      <c r="I57" s="256"/>
      <c r="J57" s="257"/>
      <c r="K57" s="258"/>
      <c r="L57" s="256"/>
      <c r="M57" s="264"/>
      <c r="N57" s="262" t="s">
        <v>313</v>
      </c>
      <c r="O57" s="225"/>
    </row>
    <row r="58" spans="1:22" s="9" customFormat="1" ht="28.5" hidden="1" customHeight="1" outlineLevel="1" x14ac:dyDescent="0.25">
      <c r="A58" s="203" t="s">
        <v>307</v>
      </c>
      <c r="B58" s="314" t="s">
        <v>265</v>
      </c>
      <c r="C58" s="315" t="s">
        <v>304</v>
      </c>
      <c r="D58" s="219" t="s">
        <v>9</v>
      </c>
      <c r="E58" s="260">
        <v>0</v>
      </c>
      <c r="F58" s="298">
        <f t="shared" si="8"/>
        <v>0</v>
      </c>
      <c r="G58" s="256"/>
      <c r="H58" s="256"/>
      <c r="I58" s="256"/>
      <c r="J58" s="257"/>
      <c r="K58" s="258"/>
      <c r="L58" s="256"/>
      <c r="M58" s="309"/>
      <c r="N58" s="308" t="s">
        <v>286</v>
      </c>
      <c r="O58" s="225"/>
    </row>
    <row r="59" spans="1:22" s="9" customFormat="1" ht="28.5" hidden="1" customHeight="1" outlineLevel="1" x14ac:dyDescent="0.25">
      <c r="A59" s="203" t="s">
        <v>307</v>
      </c>
      <c r="B59" s="314"/>
      <c r="C59" s="315"/>
      <c r="D59" s="219" t="s">
        <v>10</v>
      </c>
      <c r="E59" s="260">
        <v>0</v>
      </c>
      <c r="F59" s="298">
        <v>0</v>
      </c>
      <c r="G59" s="256">
        <v>0</v>
      </c>
      <c r="H59" s="256"/>
      <c r="I59" s="256"/>
      <c r="J59" s="257"/>
      <c r="K59" s="258"/>
      <c r="L59" s="256"/>
      <c r="M59" s="310"/>
      <c r="N59" s="308"/>
      <c r="O59" s="225"/>
    </row>
    <row r="60" spans="1:22" s="9" customFormat="1" ht="30.75" customHeight="1" outlineLevel="1" x14ac:dyDescent="0.25">
      <c r="A60" s="203" t="s">
        <v>302</v>
      </c>
      <c r="B60" s="314" t="s">
        <v>266</v>
      </c>
      <c r="C60" s="315" t="s">
        <v>110</v>
      </c>
      <c r="D60" s="219" t="s">
        <v>9</v>
      </c>
      <c r="E60" s="255">
        <v>15000</v>
      </c>
      <c r="F60" s="298">
        <f t="shared" si="8"/>
        <v>0</v>
      </c>
      <c r="G60" s="256"/>
      <c r="H60" s="256"/>
      <c r="I60" s="256"/>
      <c r="J60" s="257"/>
      <c r="K60" s="258"/>
      <c r="L60" s="256"/>
      <c r="M60" s="306" t="s">
        <v>333</v>
      </c>
      <c r="N60" s="328" t="s">
        <v>329</v>
      </c>
      <c r="O60" s="368"/>
    </row>
    <row r="61" spans="1:22" s="9" customFormat="1" ht="51" customHeight="1" outlineLevel="1" x14ac:dyDescent="0.25">
      <c r="A61" s="203" t="s">
        <v>302</v>
      </c>
      <c r="B61" s="314"/>
      <c r="C61" s="315"/>
      <c r="D61" s="219" t="s">
        <v>10</v>
      </c>
      <c r="E61" s="255">
        <v>150</v>
      </c>
      <c r="F61" s="298">
        <f t="shared" si="8"/>
        <v>15000</v>
      </c>
      <c r="G61" s="256"/>
      <c r="H61" s="256">
        <v>15000</v>
      </c>
      <c r="I61" s="256"/>
      <c r="J61" s="257"/>
      <c r="K61" s="258">
        <v>15000</v>
      </c>
      <c r="L61" s="256"/>
      <c r="M61" s="307"/>
      <c r="N61" s="329"/>
      <c r="O61" s="368"/>
    </row>
    <row r="62" spans="1:22" s="9" customFormat="1" ht="90.75" customHeight="1" outlineLevel="1" x14ac:dyDescent="0.25">
      <c r="A62" s="203" t="s">
        <v>302</v>
      </c>
      <c r="B62" s="231" t="s">
        <v>267</v>
      </c>
      <c r="C62" s="292" t="s">
        <v>202</v>
      </c>
      <c r="D62" s="224" t="s">
        <v>309</v>
      </c>
      <c r="E62" s="271">
        <v>12000</v>
      </c>
      <c r="F62" s="298">
        <f>G62+H62+I62+J62-2489.89</f>
        <v>29760.11</v>
      </c>
      <c r="G62" s="256">
        <v>12000</v>
      </c>
      <c r="H62" s="256">
        <v>20250</v>
      </c>
      <c r="I62" s="256"/>
      <c r="J62" s="257"/>
      <c r="K62" s="258"/>
      <c r="L62" s="256"/>
      <c r="M62" s="264" t="s">
        <v>353</v>
      </c>
      <c r="N62" s="262" t="s">
        <v>352</v>
      </c>
      <c r="O62" s="225"/>
    </row>
    <row r="63" spans="1:22" s="18" customFormat="1" ht="31.5" hidden="1" customHeight="1" outlineLevel="1" x14ac:dyDescent="0.25">
      <c r="A63" s="203" t="s">
        <v>302</v>
      </c>
      <c r="B63" s="314" t="s">
        <v>268</v>
      </c>
      <c r="C63" s="315" t="s">
        <v>76</v>
      </c>
      <c r="D63" s="219" t="s">
        <v>9</v>
      </c>
      <c r="E63" s="271">
        <v>35836.379999999997</v>
      </c>
      <c r="F63" s="299">
        <f t="shared" si="8"/>
        <v>0</v>
      </c>
      <c r="G63" s="191"/>
      <c r="H63" s="191"/>
      <c r="I63" s="191"/>
      <c r="J63" s="199"/>
      <c r="K63" s="215"/>
      <c r="L63" s="191"/>
      <c r="M63" s="311"/>
      <c r="N63" s="308" t="s">
        <v>343</v>
      </c>
      <c r="O63" s="368"/>
    </row>
    <row r="64" spans="1:22" s="18" customFormat="1" ht="27.75" hidden="1" customHeight="1" outlineLevel="1" x14ac:dyDescent="0.25">
      <c r="A64" s="203" t="s">
        <v>302</v>
      </c>
      <c r="B64" s="314"/>
      <c r="C64" s="315"/>
      <c r="D64" s="219" t="s">
        <v>10</v>
      </c>
      <c r="E64" s="271">
        <v>361.98</v>
      </c>
      <c r="F64" s="299">
        <f t="shared" si="8"/>
        <v>0</v>
      </c>
      <c r="G64" s="191"/>
      <c r="H64" s="191"/>
      <c r="I64" s="191"/>
      <c r="J64" s="199"/>
      <c r="K64" s="215"/>
      <c r="L64" s="191"/>
      <c r="M64" s="312"/>
      <c r="N64" s="308"/>
      <c r="O64" s="368"/>
    </row>
    <row r="65" spans="1:15" s="9" customFormat="1" ht="57" hidden="1" customHeight="1" outlineLevel="1" x14ac:dyDescent="0.25">
      <c r="A65" s="203" t="s">
        <v>306</v>
      </c>
      <c r="B65" s="231" t="s">
        <v>269</v>
      </c>
      <c r="C65" s="230" t="s">
        <v>111</v>
      </c>
      <c r="D65" s="219" t="s">
        <v>9</v>
      </c>
      <c r="E65" s="255">
        <v>0</v>
      </c>
      <c r="F65" s="298">
        <f t="shared" si="8"/>
        <v>0</v>
      </c>
      <c r="G65" s="256"/>
      <c r="H65" s="256"/>
      <c r="I65" s="256"/>
      <c r="J65" s="257"/>
      <c r="K65" s="258"/>
      <c r="L65" s="256"/>
      <c r="M65" s="264"/>
      <c r="N65" s="262" t="s">
        <v>291</v>
      </c>
      <c r="O65" s="225"/>
    </row>
    <row r="66" spans="1:15" s="9" customFormat="1" ht="64.5" hidden="1" customHeight="1" outlineLevel="1" x14ac:dyDescent="0.25">
      <c r="A66" s="203" t="s">
        <v>306</v>
      </c>
      <c r="B66" s="231" t="s">
        <v>272</v>
      </c>
      <c r="C66" s="230" t="s">
        <v>118</v>
      </c>
      <c r="D66" s="219" t="s">
        <v>10</v>
      </c>
      <c r="E66" s="260">
        <v>0</v>
      </c>
      <c r="F66" s="298">
        <v>0</v>
      </c>
      <c r="G66" s="256">
        <v>0</v>
      </c>
      <c r="H66" s="256"/>
      <c r="I66" s="256"/>
      <c r="J66" s="257"/>
      <c r="K66" s="258"/>
      <c r="L66" s="256"/>
      <c r="M66" s="264"/>
      <c r="N66" s="262" t="s">
        <v>289</v>
      </c>
      <c r="O66" s="225"/>
    </row>
    <row r="67" spans="1:15" s="9" customFormat="1" ht="193.5" hidden="1" customHeight="1" outlineLevel="1" x14ac:dyDescent="0.25">
      <c r="A67" s="203" t="s">
        <v>302</v>
      </c>
      <c r="B67" s="231" t="s">
        <v>278</v>
      </c>
      <c r="C67" s="230" t="s">
        <v>128</v>
      </c>
      <c r="D67" s="219" t="s">
        <v>9</v>
      </c>
      <c r="E67" s="255">
        <v>7500</v>
      </c>
      <c r="F67" s="298">
        <f t="shared" si="6"/>
        <v>0</v>
      </c>
      <c r="G67" s="256"/>
      <c r="H67" s="256"/>
      <c r="I67" s="256"/>
      <c r="J67" s="257"/>
      <c r="K67" s="258"/>
      <c r="L67" s="256"/>
      <c r="M67" s="264"/>
      <c r="N67" s="285" t="s">
        <v>346</v>
      </c>
      <c r="O67" s="225"/>
    </row>
    <row r="68" spans="1:15" s="9" customFormat="1" ht="183.75" hidden="1" customHeight="1" outlineLevel="1" x14ac:dyDescent="0.25">
      <c r="A68" s="203" t="s">
        <v>302</v>
      </c>
      <c r="B68" s="231" t="s">
        <v>280</v>
      </c>
      <c r="C68" s="230" t="s">
        <v>131</v>
      </c>
      <c r="D68" s="219" t="s">
        <v>11</v>
      </c>
      <c r="E68" s="255">
        <v>42000</v>
      </c>
      <c r="F68" s="298">
        <f t="shared" si="6"/>
        <v>0</v>
      </c>
      <c r="G68" s="256"/>
      <c r="H68" s="256"/>
      <c r="I68" s="256"/>
      <c r="J68" s="257"/>
      <c r="K68" s="258"/>
      <c r="L68" s="256"/>
      <c r="M68" s="264"/>
      <c r="N68" s="288" t="s">
        <v>347</v>
      </c>
      <c r="O68" s="225"/>
    </row>
    <row r="69" spans="1:15" s="9" customFormat="1" ht="151.5" customHeight="1" outlineLevel="1" thickBot="1" x14ac:dyDescent="0.3">
      <c r="A69" s="203" t="s">
        <v>302</v>
      </c>
      <c r="B69" s="232" t="s">
        <v>281</v>
      </c>
      <c r="C69" s="233" t="s">
        <v>199</v>
      </c>
      <c r="D69" s="221" t="s">
        <v>10</v>
      </c>
      <c r="E69" s="275">
        <v>5000</v>
      </c>
      <c r="F69" s="301">
        <f t="shared" si="6"/>
        <v>10714.31</v>
      </c>
      <c r="G69" s="276">
        <v>10714.31</v>
      </c>
      <c r="H69" s="276"/>
      <c r="I69" s="276"/>
      <c r="J69" s="277"/>
      <c r="K69" s="278">
        <f>2488.59+8225.41</f>
        <v>10714</v>
      </c>
      <c r="L69" s="276"/>
      <c r="M69" s="279" t="s">
        <v>338</v>
      </c>
      <c r="N69" s="280" t="s">
        <v>329</v>
      </c>
      <c r="O69" s="225"/>
    </row>
    <row r="72" spans="1:15" x14ac:dyDescent="0.25">
      <c r="E72" s="22">
        <f>E7-E12-E56</f>
        <v>0</v>
      </c>
      <c r="F72" s="302">
        <f t="shared" ref="F72:L72" si="9">F7-F12-F56</f>
        <v>0</v>
      </c>
      <c r="G72" s="223">
        <f t="shared" si="9"/>
        <v>0</v>
      </c>
      <c r="H72" s="223">
        <f t="shared" si="9"/>
        <v>0</v>
      </c>
      <c r="I72" s="223"/>
      <c r="J72" s="223">
        <f t="shared" si="9"/>
        <v>0</v>
      </c>
      <c r="K72" s="223">
        <f t="shared" si="9"/>
        <v>0</v>
      </c>
      <c r="L72" s="223">
        <f t="shared" si="9"/>
        <v>0</v>
      </c>
    </row>
    <row r="235" spans="1:15" s="12" customFormat="1" x14ac:dyDescent="0.25">
      <c r="A235" s="206"/>
      <c r="B235" s="186"/>
      <c r="C235" s="198"/>
      <c r="D235" s="195"/>
      <c r="E235" s="22"/>
      <c r="F235" s="303"/>
      <c r="G235" s="189"/>
      <c r="H235" s="189"/>
      <c r="M235" s="186"/>
      <c r="N235" s="201"/>
      <c r="O235" s="225"/>
    </row>
    <row r="236" spans="1:15" s="12" customFormat="1" x14ac:dyDescent="0.25">
      <c r="A236" s="206"/>
      <c r="B236" s="186"/>
      <c r="C236" s="198"/>
      <c r="D236" s="195"/>
      <c r="F236" s="303"/>
      <c r="G236" s="189"/>
      <c r="H236" s="189"/>
      <c r="M236" s="186"/>
      <c r="N236" s="201"/>
      <c r="O236" s="225"/>
    </row>
    <row r="237" spans="1:15" s="12" customFormat="1" x14ac:dyDescent="0.25">
      <c r="A237" s="206"/>
      <c r="B237" s="186"/>
      <c r="C237" s="198"/>
      <c r="D237" s="195"/>
      <c r="F237" s="303"/>
      <c r="G237" s="189"/>
      <c r="H237" s="189"/>
      <c r="M237" s="186"/>
      <c r="N237" s="201"/>
      <c r="O237" s="225"/>
    </row>
    <row r="238" spans="1:15" s="12" customFormat="1" x14ac:dyDescent="0.25">
      <c r="A238" s="206"/>
      <c r="B238" s="186"/>
      <c r="C238" s="198"/>
      <c r="D238" s="195"/>
      <c r="F238" s="303"/>
      <c r="G238" s="189"/>
      <c r="H238" s="189"/>
      <c r="M238" s="186"/>
      <c r="N238" s="201"/>
      <c r="O238" s="225"/>
    </row>
    <row r="240" spans="1:15" s="12" customFormat="1" x14ac:dyDescent="0.25">
      <c r="A240" s="206"/>
      <c r="B240" s="186"/>
      <c r="C240" s="198"/>
      <c r="D240" s="195"/>
      <c r="F240" s="303"/>
      <c r="G240" s="189"/>
      <c r="H240" s="189"/>
      <c r="M240" s="186"/>
      <c r="N240" s="201"/>
      <c r="O240" s="225"/>
    </row>
    <row r="241" spans="1:15" s="12" customFormat="1" x14ac:dyDescent="0.25">
      <c r="A241" s="206"/>
      <c r="B241" s="186"/>
      <c r="C241" s="198"/>
      <c r="D241" s="195"/>
      <c r="F241" s="303"/>
      <c r="G241" s="189"/>
      <c r="H241" s="189"/>
      <c r="M241" s="186"/>
      <c r="N241" s="201"/>
      <c r="O241" s="225"/>
    </row>
    <row r="242" spans="1:15" s="12" customFormat="1" x14ac:dyDescent="0.25">
      <c r="A242" s="206"/>
      <c r="B242" s="186"/>
      <c r="C242" s="198"/>
      <c r="D242" s="195"/>
      <c r="F242" s="303"/>
      <c r="G242" s="189"/>
      <c r="H242" s="189"/>
      <c r="M242" s="186"/>
      <c r="N242" s="201"/>
      <c r="O242" s="225"/>
    </row>
    <row r="243" spans="1:15" s="12" customFormat="1" x14ac:dyDescent="0.25">
      <c r="A243" s="206"/>
      <c r="B243" s="186"/>
      <c r="C243" s="198"/>
      <c r="D243" s="195"/>
      <c r="F243" s="303"/>
      <c r="G243" s="189"/>
      <c r="H243" s="189"/>
      <c r="M243" s="186"/>
      <c r="N243" s="201"/>
      <c r="O243" s="225"/>
    </row>
    <row r="244" spans="1:15" s="12" customFormat="1" x14ac:dyDescent="0.25">
      <c r="A244" s="206"/>
      <c r="B244" s="186"/>
      <c r="C244" s="198"/>
      <c r="D244" s="195"/>
      <c r="F244" s="303"/>
      <c r="G244" s="189"/>
      <c r="H244" s="189"/>
      <c r="M244" s="186"/>
      <c r="N244" s="201"/>
      <c r="O244" s="225"/>
    </row>
    <row r="245" spans="1:15" s="12" customFormat="1" x14ac:dyDescent="0.25">
      <c r="A245" s="206"/>
      <c r="B245" s="186"/>
      <c r="C245" s="198"/>
      <c r="D245" s="195"/>
      <c r="F245" s="303"/>
      <c r="G245" s="189"/>
      <c r="H245" s="189"/>
      <c r="M245" s="186"/>
      <c r="N245" s="201"/>
      <c r="O245" s="225"/>
    </row>
    <row r="246" spans="1:15" s="12" customFormat="1" x14ac:dyDescent="0.25">
      <c r="A246" s="206"/>
      <c r="B246" s="186"/>
      <c r="C246" s="198"/>
      <c r="D246" s="195"/>
      <c r="F246" s="303"/>
      <c r="G246" s="189"/>
      <c r="H246" s="189"/>
      <c r="M246" s="186"/>
      <c r="N246" s="201"/>
      <c r="O246" s="225"/>
    </row>
    <row r="247" spans="1:15" s="12" customFormat="1" x14ac:dyDescent="0.25">
      <c r="A247" s="206"/>
      <c r="B247" s="186"/>
      <c r="C247" s="198"/>
      <c r="D247" s="195"/>
      <c r="F247" s="303"/>
      <c r="G247" s="189"/>
      <c r="H247" s="189"/>
      <c r="M247" s="186"/>
      <c r="N247" s="201"/>
      <c r="O247" s="225"/>
    </row>
    <row r="248" spans="1:15" s="12" customFormat="1" x14ac:dyDescent="0.25">
      <c r="A248" s="206"/>
      <c r="B248" s="186"/>
      <c r="C248" s="198"/>
      <c r="D248" s="195"/>
      <c r="F248" s="303"/>
      <c r="G248" s="189"/>
      <c r="H248" s="189"/>
      <c r="M248" s="186"/>
      <c r="N248" s="201"/>
      <c r="O248" s="225"/>
    </row>
    <row r="249" spans="1:15" s="12" customFormat="1" x14ac:dyDescent="0.25">
      <c r="A249" s="206"/>
      <c r="B249" s="186"/>
      <c r="C249" s="198"/>
      <c r="D249" s="195"/>
      <c r="F249" s="303"/>
      <c r="G249" s="189"/>
      <c r="H249" s="189"/>
      <c r="M249" s="186"/>
      <c r="N249" s="201"/>
      <c r="O249" s="225"/>
    </row>
    <row r="250" spans="1:15" s="12" customFormat="1" x14ac:dyDescent="0.25">
      <c r="A250" s="206"/>
      <c r="B250" s="186"/>
      <c r="C250" s="198"/>
      <c r="D250" s="195"/>
      <c r="F250" s="303"/>
      <c r="G250" s="189"/>
      <c r="H250" s="189"/>
      <c r="M250" s="186"/>
      <c r="N250" s="201"/>
      <c r="O250" s="225"/>
    </row>
    <row r="251" spans="1:15" s="12" customFormat="1" x14ac:dyDescent="0.25">
      <c r="A251" s="206"/>
      <c r="B251" s="186"/>
      <c r="C251" s="198"/>
      <c r="D251" s="195"/>
      <c r="F251" s="303"/>
      <c r="G251" s="189"/>
      <c r="H251" s="189"/>
      <c r="M251" s="186"/>
      <c r="N251" s="201"/>
      <c r="O251" s="225"/>
    </row>
    <row r="252" spans="1:15" s="12" customFormat="1" x14ac:dyDescent="0.25">
      <c r="A252" s="206"/>
      <c r="B252" s="186"/>
      <c r="C252" s="198"/>
      <c r="D252" s="195"/>
      <c r="F252" s="303"/>
      <c r="G252" s="189"/>
      <c r="H252" s="189"/>
      <c r="M252" s="186"/>
      <c r="N252" s="201"/>
      <c r="O252" s="225"/>
    </row>
    <row r="253" spans="1:15" s="12" customFormat="1" x14ac:dyDescent="0.25">
      <c r="A253" s="206"/>
      <c r="B253" s="186"/>
      <c r="C253" s="198"/>
      <c r="D253" s="195"/>
      <c r="F253" s="303"/>
      <c r="G253" s="189"/>
      <c r="H253" s="189"/>
      <c r="M253" s="186"/>
      <c r="N253" s="201"/>
      <c r="O253" s="225"/>
    </row>
    <row r="254" spans="1:15" s="12" customFormat="1" x14ac:dyDescent="0.25">
      <c r="A254" s="206"/>
      <c r="B254" s="186"/>
      <c r="C254" s="198"/>
      <c r="D254" s="195"/>
      <c r="F254" s="303"/>
      <c r="G254" s="189"/>
      <c r="H254" s="189"/>
      <c r="M254" s="186"/>
      <c r="N254" s="201"/>
      <c r="O254" s="225"/>
    </row>
  </sheetData>
  <autoFilter ref="A5:O69"/>
  <mergeCells count="94">
    <mergeCell ref="B27:B28"/>
    <mergeCell ref="C34:C35"/>
    <mergeCell ref="C31:C32"/>
    <mergeCell ref="B39:B40"/>
    <mergeCell ref="C39:C40"/>
    <mergeCell ref="B31:B32"/>
    <mergeCell ref="C27:C28"/>
    <mergeCell ref="B29:B30"/>
    <mergeCell ref="C29:C30"/>
    <mergeCell ref="B34:B35"/>
    <mergeCell ref="O60:O61"/>
    <mergeCell ref="O63:O64"/>
    <mergeCell ref="O29:O30"/>
    <mergeCell ref="O21:O22"/>
    <mergeCell ref="O48:O49"/>
    <mergeCell ref="O24:O25"/>
    <mergeCell ref="O31:O32"/>
    <mergeCell ref="O43:O44"/>
    <mergeCell ref="O46:O47"/>
    <mergeCell ref="O52:O53"/>
    <mergeCell ref="O54:O55"/>
    <mergeCell ref="B1:N1"/>
    <mergeCell ref="B13:B15"/>
    <mergeCell ref="C13:C15"/>
    <mergeCell ref="G3:J3"/>
    <mergeCell ref="J4:J5"/>
    <mergeCell ref="B3:B5"/>
    <mergeCell ref="C3:C5"/>
    <mergeCell ref="B7:B11"/>
    <mergeCell ref="C7:C11"/>
    <mergeCell ref="N3:N5"/>
    <mergeCell ref="G4:G5"/>
    <mergeCell ref="H4:H5"/>
    <mergeCell ref="I4:I5"/>
    <mergeCell ref="E3:E5"/>
    <mergeCell ref="F3:F5"/>
    <mergeCell ref="D3:D5"/>
    <mergeCell ref="B63:B64"/>
    <mergeCell ref="C63:C64"/>
    <mergeCell ref="B54:B55"/>
    <mergeCell ref="C54:C55"/>
    <mergeCell ref="B52:B53"/>
    <mergeCell ref="C52:C53"/>
    <mergeCell ref="B60:B61"/>
    <mergeCell ref="C60:C61"/>
    <mergeCell ref="B58:B59"/>
    <mergeCell ref="C58:C59"/>
    <mergeCell ref="B56:D56"/>
    <mergeCell ref="B43:B44"/>
    <mergeCell ref="C43:C44"/>
    <mergeCell ref="B46:B47"/>
    <mergeCell ref="C46:C47"/>
    <mergeCell ref="B48:B49"/>
    <mergeCell ref="C48:C49"/>
    <mergeCell ref="N63:N64"/>
    <mergeCell ref="N43:N44"/>
    <mergeCell ref="N46:N47"/>
    <mergeCell ref="N48:N49"/>
    <mergeCell ref="M60:M61"/>
    <mergeCell ref="M63:M64"/>
    <mergeCell ref="M43:M44"/>
    <mergeCell ref="M46:M47"/>
    <mergeCell ref="N60:N61"/>
    <mergeCell ref="N54:N55"/>
    <mergeCell ref="M48:M49"/>
    <mergeCell ref="M52:M53"/>
    <mergeCell ref="M54:M55"/>
    <mergeCell ref="N52:N53"/>
    <mergeCell ref="K3:K5"/>
    <mergeCell ref="L3:L5"/>
    <mergeCell ref="M3:M5"/>
    <mergeCell ref="N24:N25"/>
    <mergeCell ref="M21:M22"/>
    <mergeCell ref="M24:M25"/>
    <mergeCell ref="N21:N22"/>
    <mergeCell ref="N13:N14"/>
    <mergeCell ref="B21:B22"/>
    <mergeCell ref="C21:C22"/>
    <mergeCell ref="B12:D12"/>
    <mergeCell ref="B24:B25"/>
    <mergeCell ref="C24:C25"/>
    <mergeCell ref="N27:N28"/>
    <mergeCell ref="M13:M14"/>
    <mergeCell ref="N31:N32"/>
    <mergeCell ref="N34:N35"/>
    <mergeCell ref="N58:N59"/>
    <mergeCell ref="M27:M28"/>
    <mergeCell ref="M31:M32"/>
    <mergeCell ref="M34:M35"/>
    <mergeCell ref="M58:M59"/>
    <mergeCell ref="M39:M40"/>
    <mergeCell ref="N29:N30"/>
    <mergeCell ref="M29:M30"/>
    <mergeCell ref="N39:N40"/>
  </mergeCells>
  <phoneticPr fontId="35" type="noConversion"/>
  <printOptions horizontalCentered="1"/>
  <pageMargins left="0.11811023622047245" right="0.11811023622047245" top="0.55118110236220474" bottom="0.51181102362204722" header="0.31496062992125984" footer="0.31496062992125984"/>
  <pageSetup paperSize="9" scale="46" firstPageNumber="4" fitToHeight="6" orientation="landscape" useFirstPageNumber="1" r:id="rId1"/>
  <headerFooter>
    <oddFooter>&amp;R&amp;"Times New Roman,обычный"&amp;P</oddFooter>
  </headerFooter>
  <rowBreaks count="3" manualBreakCount="3">
    <brk id="28" min="1" max="13" man="1"/>
    <brk id="53" min="1" max="13" man="1"/>
    <brk id="55" min="1" max="1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95"/>
  <sheetViews>
    <sheetView view="pageBreakPreview" zoomScale="60" zoomScaleNormal="73" workbookViewId="0">
      <pane xSplit="6" ySplit="14" topLeftCell="G306" activePane="bottomRight" state="frozen"/>
      <selection pane="topRight" activeCell="G1" sqref="G1"/>
      <selection pane="bottomLeft" activeCell="A15" sqref="A15"/>
      <selection pane="bottomRight" activeCell="C366" sqref="C366:C370"/>
    </sheetView>
  </sheetViews>
  <sheetFormatPr defaultRowHeight="15" outlineLevelRow="1" x14ac:dyDescent="0.25"/>
  <cols>
    <col min="1" max="1" width="7.28515625" style="99" customWidth="1"/>
    <col min="2" max="2" width="49.28515625" style="101" customWidth="1"/>
    <col min="3" max="3" width="46.42578125" style="101" customWidth="1"/>
    <col min="4" max="4" width="43" style="99" customWidth="1"/>
    <col min="5" max="5" width="11.85546875" style="101" customWidth="1"/>
    <col min="6" max="6" width="17.85546875" style="26" customWidth="1"/>
    <col min="7" max="7" width="15.85546875" style="99" customWidth="1"/>
    <col min="8" max="8" width="15.140625" style="99" customWidth="1"/>
    <col min="9" max="9" width="15.5703125" style="99" customWidth="1"/>
    <col min="10" max="10" width="15.5703125" style="103" customWidth="1"/>
    <col min="11" max="11" width="13" style="103" customWidth="1"/>
    <col min="12" max="12" width="16" style="99" customWidth="1"/>
    <col min="13" max="13" width="15.7109375" style="99" customWidth="1"/>
    <col min="14" max="14" width="18.140625" style="99" customWidth="1"/>
    <col min="15" max="15" width="17" style="99" customWidth="1"/>
    <col min="16" max="16" width="13.7109375" style="25" hidden="1" customWidth="1"/>
    <col min="17" max="17" width="0" style="25" hidden="1" customWidth="1"/>
    <col min="18" max="18" width="0" hidden="1" customWidth="1"/>
    <col min="19" max="26" width="12.7109375" style="97" bestFit="1" customWidth="1"/>
    <col min="27" max="27" width="11.7109375" style="97" bestFit="1" customWidth="1"/>
    <col min="29" max="29" width="11.7109375" bestFit="1" customWidth="1"/>
  </cols>
  <sheetData>
    <row r="1" spans="1:36" ht="18.75" x14ac:dyDescent="0.25">
      <c r="A1" s="96"/>
      <c r="B1" s="414" t="s">
        <v>200</v>
      </c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</row>
    <row r="2" spans="1:36" ht="18.75" x14ac:dyDescent="0.25">
      <c r="A2" s="96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36" ht="18.75" x14ac:dyDescent="0.25">
      <c r="B3" s="100" t="s">
        <v>184</v>
      </c>
      <c r="C3" s="98"/>
      <c r="D3" s="98"/>
      <c r="G3" s="98"/>
      <c r="H3" s="98"/>
      <c r="J3" s="102"/>
      <c r="N3" s="98"/>
      <c r="O3" s="98"/>
    </row>
    <row r="4" spans="1:36" ht="18.75" x14ac:dyDescent="0.25">
      <c r="B4" s="104"/>
      <c r="C4" s="105" t="s">
        <v>180</v>
      </c>
      <c r="D4" s="98"/>
      <c r="G4" s="106"/>
      <c r="H4" s="107" t="s">
        <v>203</v>
      </c>
      <c r="N4" s="98"/>
      <c r="O4" s="98"/>
    </row>
    <row r="5" spans="1:36" ht="18.75" x14ac:dyDescent="0.25">
      <c r="B5" s="108"/>
      <c r="C5" s="105" t="s">
        <v>163</v>
      </c>
      <c r="D5" s="98"/>
      <c r="G5" s="109"/>
      <c r="N5" s="98"/>
      <c r="O5" s="98"/>
    </row>
    <row r="6" spans="1:36" ht="18.75" x14ac:dyDescent="0.25">
      <c r="A6" s="109"/>
      <c r="B6" s="105"/>
      <c r="C6" s="110"/>
      <c r="D6" s="110"/>
      <c r="E6" s="110"/>
      <c r="F6" s="110"/>
      <c r="G6" s="104"/>
      <c r="H6" s="104"/>
      <c r="I6"/>
      <c r="J6"/>
      <c r="K6" s="104"/>
      <c r="L6" s="104"/>
      <c r="M6" s="104"/>
      <c r="N6" s="104"/>
      <c r="O6" s="104"/>
    </row>
    <row r="7" spans="1:36" x14ac:dyDescent="0.25">
      <c r="A7" s="380" t="s">
        <v>0</v>
      </c>
      <c r="B7" s="380" t="s">
        <v>1</v>
      </c>
      <c r="C7" s="380" t="s">
        <v>2</v>
      </c>
      <c r="D7" s="380" t="s">
        <v>3</v>
      </c>
      <c r="E7" s="380" t="s">
        <v>4</v>
      </c>
      <c r="F7" s="380" t="s">
        <v>5</v>
      </c>
      <c r="G7" s="380" t="s">
        <v>204</v>
      </c>
      <c r="H7" s="380"/>
      <c r="I7" s="380"/>
      <c r="J7" s="380"/>
      <c r="K7" s="380"/>
      <c r="L7" s="380"/>
      <c r="M7" s="380"/>
      <c r="N7" s="380"/>
      <c r="O7" s="380"/>
    </row>
    <row r="8" spans="1:36" x14ac:dyDescent="0.25">
      <c r="A8" s="380"/>
      <c r="B8" s="380"/>
      <c r="C8" s="380"/>
      <c r="D8" s="380"/>
      <c r="E8" s="380"/>
      <c r="F8" s="380"/>
      <c r="G8" s="380" t="s">
        <v>205</v>
      </c>
      <c r="H8" s="111"/>
      <c r="I8" s="415" t="s">
        <v>206</v>
      </c>
      <c r="J8" s="415"/>
      <c r="K8" s="415"/>
      <c r="L8" s="415"/>
      <c r="M8" s="415"/>
      <c r="N8" s="415"/>
      <c r="O8" s="380" t="s">
        <v>6</v>
      </c>
    </row>
    <row r="9" spans="1:36" ht="36" x14ac:dyDescent="0.25">
      <c r="A9" s="380"/>
      <c r="B9" s="380"/>
      <c r="C9" s="380"/>
      <c r="D9" s="380"/>
      <c r="E9" s="380"/>
      <c r="F9" s="380"/>
      <c r="G9" s="380"/>
      <c r="H9" s="112">
        <v>2022</v>
      </c>
      <c r="I9" s="112">
        <v>2023</v>
      </c>
      <c r="J9" s="113" t="s">
        <v>207</v>
      </c>
      <c r="K9" s="113" t="s">
        <v>208</v>
      </c>
      <c r="L9" s="112">
        <v>2024</v>
      </c>
      <c r="M9" s="112">
        <v>2025</v>
      </c>
      <c r="N9" s="114" t="s">
        <v>209</v>
      </c>
      <c r="O9" s="380"/>
    </row>
    <row r="10" spans="1:36" s="83" customFormat="1" x14ac:dyDescent="0.25">
      <c r="A10" s="412"/>
      <c r="B10" s="413" t="s">
        <v>164</v>
      </c>
      <c r="C10" s="412"/>
      <c r="D10" s="412"/>
      <c r="E10" s="412"/>
      <c r="F10" s="80" t="s">
        <v>7</v>
      </c>
      <c r="G10" s="81">
        <f>SUM(G11:G14)</f>
        <v>6093887.8282467714</v>
      </c>
      <c r="H10" s="81">
        <f t="shared" ref="H10:O10" si="0">SUM(H11:H14)</f>
        <v>254726.49839999998</v>
      </c>
      <c r="I10" s="81">
        <f t="shared" si="0"/>
        <v>841070.93301072065</v>
      </c>
      <c r="J10" s="81">
        <f t="shared" si="0"/>
        <v>551259.11968072061</v>
      </c>
      <c r="K10" s="81">
        <f t="shared" si="0"/>
        <v>289811.81</v>
      </c>
      <c r="L10" s="81">
        <f t="shared" si="0"/>
        <v>1533765.7362616297</v>
      </c>
      <c r="M10" s="81">
        <f t="shared" si="0"/>
        <v>2056184.9705744202</v>
      </c>
      <c r="N10" s="81">
        <f>I10+L10+M10</f>
        <v>4431021.6398467701</v>
      </c>
      <c r="O10" s="81">
        <f t="shared" si="0"/>
        <v>1408139.69</v>
      </c>
      <c r="P10" s="82"/>
      <c r="Q10" s="82"/>
      <c r="S10" s="115">
        <v>6093887.8282467704</v>
      </c>
      <c r="T10" s="115">
        <v>254726.49840000004</v>
      </c>
      <c r="U10" s="115">
        <v>841070.93301072065</v>
      </c>
      <c r="V10" s="115">
        <v>551259.11968072073</v>
      </c>
      <c r="W10" s="115">
        <v>289811.81332999992</v>
      </c>
      <c r="X10" s="115">
        <v>1533765.7362616297</v>
      </c>
      <c r="Y10" s="115">
        <v>2056184.9705744202</v>
      </c>
      <c r="Z10" s="115">
        <v>4431021.639846771</v>
      </c>
      <c r="AA10" s="115">
        <v>1408139.69</v>
      </c>
      <c r="AB10" s="116">
        <f>G10-S10</f>
        <v>0</v>
      </c>
      <c r="AC10" s="116">
        <f t="shared" ref="AC10:AJ25" si="1">H10-T10</f>
        <v>0</v>
      </c>
      <c r="AD10" s="116">
        <f t="shared" si="1"/>
        <v>0</v>
      </c>
      <c r="AE10" s="116">
        <f t="shared" si="1"/>
        <v>0</v>
      </c>
      <c r="AF10" s="116">
        <f t="shared" si="1"/>
        <v>-3.3299999195151031E-3</v>
      </c>
      <c r="AG10" s="116">
        <f t="shared" si="1"/>
        <v>0</v>
      </c>
      <c r="AH10" s="116">
        <f t="shared" si="1"/>
        <v>0</v>
      </c>
      <c r="AI10" s="116">
        <f t="shared" si="1"/>
        <v>0</v>
      </c>
      <c r="AJ10" s="116">
        <f t="shared" si="1"/>
        <v>0</v>
      </c>
    </row>
    <row r="11" spans="1:36" s="83" customFormat="1" x14ac:dyDescent="0.25">
      <c r="A11" s="412"/>
      <c r="B11" s="413"/>
      <c r="C11" s="412"/>
      <c r="D11" s="412"/>
      <c r="E11" s="412"/>
      <c r="F11" s="84" t="s">
        <v>8</v>
      </c>
      <c r="G11" s="81">
        <f>G17+G22</f>
        <v>712500</v>
      </c>
      <c r="H11" s="81">
        <f>H17+H22</f>
        <v>0</v>
      </c>
      <c r="I11" s="81">
        <f t="shared" ref="I11:M11" si="2">I17+I22</f>
        <v>0</v>
      </c>
      <c r="J11" s="81">
        <f t="shared" si="2"/>
        <v>0</v>
      </c>
      <c r="K11" s="81">
        <f t="shared" si="2"/>
        <v>0</v>
      </c>
      <c r="L11" s="81">
        <f t="shared" si="2"/>
        <v>0</v>
      </c>
      <c r="M11" s="81">
        <f t="shared" si="2"/>
        <v>712500</v>
      </c>
      <c r="N11" s="81">
        <f t="shared" ref="N11:N14" si="3">I11+L11+M11</f>
        <v>712500</v>
      </c>
      <c r="O11" s="81">
        <f t="shared" ref="O11:O14" si="4">O17+O22</f>
        <v>0</v>
      </c>
      <c r="P11" s="82"/>
      <c r="Q11" s="82"/>
      <c r="S11" s="115">
        <v>712500</v>
      </c>
      <c r="T11" s="115">
        <v>0</v>
      </c>
      <c r="U11" s="115">
        <v>0</v>
      </c>
      <c r="V11" s="115">
        <v>0</v>
      </c>
      <c r="W11" s="115">
        <v>0</v>
      </c>
      <c r="X11" s="115">
        <v>0</v>
      </c>
      <c r="Y11" s="115">
        <v>712500</v>
      </c>
      <c r="Z11" s="115">
        <v>712500</v>
      </c>
      <c r="AA11" s="115">
        <v>0</v>
      </c>
      <c r="AB11" s="116">
        <f t="shared" ref="AB11:AB25" si="5">G11-S11</f>
        <v>0</v>
      </c>
      <c r="AC11" s="116">
        <f t="shared" si="1"/>
        <v>0</v>
      </c>
      <c r="AD11" s="116">
        <f t="shared" si="1"/>
        <v>0</v>
      </c>
      <c r="AE11" s="116">
        <f t="shared" si="1"/>
        <v>0</v>
      </c>
      <c r="AF11" s="116">
        <f t="shared" si="1"/>
        <v>0</v>
      </c>
      <c r="AG11" s="116">
        <f t="shared" si="1"/>
        <v>0</v>
      </c>
      <c r="AH11" s="116">
        <f t="shared" si="1"/>
        <v>0</v>
      </c>
      <c r="AI11" s="116">
        <f t="shared" si="1"/>
        <v>0</v>
      </c>
      <c r="AJ11" s="116">
        <f t="shared" si="1"/>
        <v>0</v>
      </c>
    </row>
    <row r="12" spans="1:36" s="83" customFormat="1" x14ac:dyDescent="0.25">
      <c r="A12" s="412"/>
      <c r="B12" s="413"/>
      <c r="C12" s="412"/>
      <c r="D12" s="412"/>
      <c r="E12" s="412"/>
      <c r="F12" s="84" t="s">
        <v>9</v>
      </c>
      <c r="G12" s="81">
        <f t="shared" ref="G12:M14" si="6">G18+G23</f>
        <v>4494132.7642087508</v>
      </c>
      <c r="H12" s="81">
        <f t="shared" si="6"/>
        <v>161517.13999999998</v>
      </c>
      <c r="I12" s="81">
        <f t="shared" si="6"/>
        <v>520618.65</v>
      </c>
      <c r="J12" s="81">
        <f t="shared" si="6"/>
        <v>350148.87</v>
      </c>
      <c r="K12" s="81">
        <f t="shared" si="6"/>
        <v>170469.78</v>
      </c>
      <c r="L12" s="81">
        <f t="shared" si="6"/>
        <v>1291530.1558399999</v>
      </c>
      <c r="M12" s="81">
        <f t="shared" si="6"/>
        <v>1118422.5283687499</v>
      </c>
      <c r="N12" s="81">
        <f t="shared" si="3"/>
        <v>2930571.3342087502</v>
      </c>
      <c r="O12" s="81">
        <f t="shared" si="4"/>
        <v>1402044.29</v>
      </c>
      <c r="P12" s="82"/>
      <c r="Q12" s="82"/>
      <c r="S12" s="115">
        <v>4494132.7642087489</v>
      </c>
      <c r="T12" s="115">
        <v>161517.13999999998</v>
      </c>
      <c r="U12" s="115">
        <v>520618.65</v>
      </c>
      <c r="V12" s="115">
        <v>350148.87</v>
      </c>
      <c r="W12" s="115">
        <v>170469.78000000003</v>
      </c>
      <c r="X12" s="115">
        <v>1291530.1558399999</v>
      </c>
      <c r="Y12" s="115">
        <v>1118422.5283687501</v>
      </c>
      <c r="Z12" s="115">
        <v>2930571.3342087497</v>
      </c>
      <c r="AA12" s="115">
        <v>1402044.29</v>
      </c>
      <c r="AB12" s="116">
        <f t="shared" si="5"/>
        <v>0</v>
      </c>
      <c r="AC12" s="116">
        <f t="shared" si="1"/>
        <v>0</v>
      </c>
      <c r="AD12" s="116">
        <f t="shared" si="1"/>
        <v>0</v>
      </c>
      <c r="AE12" s="116">
        <f t="shared" si="1"/>
        <v>0</v>
      </c>
      <c r="AF12" s="116">
        <f t="shared" si="1"/>
        <v>0</v>
      </c>
      <c r="AG12" s="116">
        <f t="shared" si="1"/>
        <v>0</v>
      </c>
      <c r="AH12" s="116">
        <f t="shared" si="1"/>
        <v>0</v>
      </c>
      <c r="AI12" s="116">
        <f t="shared" si="1"/>
        <v>0</v>
      </c>
      <c r="AJ12" s="116">
        <f t="shared" si="1"/>
        <v>0</v>
      </c>
    </row>
    <row r="13" spans="1:36" s="83" customFormat="1" x14ac:dyDescent="0.25">
      <c r="A13" s="412"/>
      <c r="B13" s="413"/>
      <c r="C13" s="412"/>
      <c r="D13" s="412"/>
      <c r="E13" s="412"/>
      <c r="F13" s="84" t="s">
        <v>10</v>
      </c>
      <c r="G13" s="81">
        <f t="shared" si="6"/>
        <v>467734.09079802071</v>
      </c>
      <c r="H13" s="81">
        <f t="shared" si="6"/>
        <v>91694.558400000009</v>
      </c>
      <c r="I13" s="81">
        <f t="shared" si="6"/>
        <v>289359.44405072066</v>
      </c>
      <c r="J13" s="81">
        <f t="shared" si="6"/>
        <v>170017.41072072068</v>
      </c>
      <c r="K13" s="81">
        <f t="shared" si="6"/>
        <v>119342.03</v>
      </c>
      <c r="L13" s="81">
        <f t="shared" si="6"/>
        <v>25630.29397162981</v>
      </c>
      <c r="M13" s="81">
        <f t="shared" si="6"/>
        <v>54954.394375670221</v>
      </c>
      <c r="N13" s="81">
        <f t="shared" si="3"/>
        <v>369944.13239802071</v>
      </c>
      <c r="O13" s="81">
        <f t="shared" si="4"/>
        <v>6095.4</v>
      </c>
      <c r="P13" s="82"/>
      <c r="Q13" s="82"/>
      <c r="S13" s="115">
        <v>467734.09079802077</v>
      </c>
      <c r="T13" s="115">
        <v>91694.558400000009</v>
      </c>
      <c r="U13" s="115">
        <v>289359.44405072078</v>
      </c>
      <c r="V13" s="115">
        <v>170017.41072072071</v>
      </c>
      <c r="W13" s="115">
        <v>119342.03333000006</v>
      </c>
      <c r="X13" s="115">
        <v>25630.293971629813</v>
      </c>
      <c r="Y13" s="115">
        <v>54954.394375670221</v>
      </c>
      <c r="Z13" s="115">
        <v>369944.13239802077</v>
      </c>
      <c r="AA13" s="115">
        <v>6095.4</v>
      </c>
      <c r="AB13" s="116">
        <f t="shared" si="5"/>
        <v>0</v>
      </c>
      <c r="AC13" s="116">
        <f t="shared" si="1"/>
        <v>0</v>
      </c>
      <c r="AD13" s="116">
        <f t="shared" si="1"/>
        <v>0</v>
      </c>
      <c r="AE13" s="116">
        <f t="shared" si="1"/>
        <v>0</v>
      </c>
      <c r="AF13" s="116">
        <f t="shared" si="1"/>
        <v>-3.3300000650342554E-3</v>
      </c>
      <c r="AG13" s="116">
        <f t="shared" si="1"/>
        <v>0</v>
      </c>
      <c r="AH13" s="116">
        <f t="shared" si="1"/>
        <v>0</v>
      </c>
      <c r="AI13" s="116">
        <f t="shared" si="1"/>
        <v>0</v>
      </c>
      <c r="AJ13" s="116">
        <f t="shared" si="1"/>
        <v>0</v>
      </c>
    </row>
    <row r="14" spans="1:36" s="83" customFormat="1" x14ac:dyDescent="0.25">
      <c r="A14" s="412"/>
      <c r="B14" s="413"/>
      <c r="C14" s="412"/>
      <c r="D14" s="412"/>
      <c r="E14" s="412"/>
      <c r="F14" s="84" t="s">
        <v>11</v>
      </c>
      <c r="G14" s="81">
        <f t="shared" si="6"/>
        <v>419520.97323999996</v>
      </c>
      <c r="H14" s="81">
        <f t="shared" si="6"/>
        <v>1514.8</v>
      </c>
      <c r="I14" s="81">
        <f t="shared" si="6"/>
        <v>31092.838960000001</v>
      </c>
      <c r="J14" s="81">
        <f t="shared" si="6"/>
        <v>31092.838960000001</v>
      </c>
      <c r="K14" s="81">
        <f t="shared" si="6"/>
        <v>0</v>
      </c>
      <c r="L14" s="81">
        <f t="shared" si="6"/>
        <v>216605.28644999999</v>
      </c>
      <c r="M14" s="81">
        <f t="shared" si="6"/>
        <v>170308.04783</v>
      </c>
      <c r="N14" s="81">
        <f t="shared" si="3"/>
        <v>418006.17323999997</v>
      </c>
      <c r="O14" s="81">
        <f t="shared" si="4"/>
        <v>0</v>
      </c>
      <c r="P14" s="82"/>
      <c r="Q14" s="82"/>
      <c r="S14" s="115">
        <v>419520.97323999996</v>
      </c>
      <c r="T14" s="115">
        <v>1514.8</v>
      </c>
      <c r="U14" s="115">
        <v>31092.838960000001</v>
      </c>
      <c r="V14" s="115">
        <v>31092.838960000001</v>
      </c>
      <c r="W14" s="115">
        <v>0</v>
      </c>
      <c r="X14" s="115">
        <v>216605.28644999999</v>
      </c>
      <c r="Y14" s="115">
        <v>170308.04783</v>
      </c>
      <c r="Z14" s="115">
        <v>418006.17323999997</v>
      </c>
      <c r="AA14" s="115">
        <v>0</v>
      </c>
      <c r="AB14" s="116">
        <f t="shared" si="5"/>
        <v>0</v>
      </c>
      <c r="AC14" s="116">
        <f t="shared" si="1"/>
        <v>0</v>
      </c>
      <c r="AD14" s="116">
        <f t="shared" si="1"/>
        <v>0</v>
      </c>
      <c r="AE14" s="116">
        <f t="shared" si="1"/>
        <v>0</v>
      </c>
      <c r="AF14" s="116">
        <f t="shared" si="1"/>
        <v>0</v>
      </c>
      <c r="AG14" s="116">
        <f t="shared" si="1"/>
        <v>0</v>
      </c>
      <c r="AH14" s="116">
        <f t="shared" si="1"/>
        <v>0</v>
      </c>
      <c r="AI14" s="116">
        <f t="shared" si="1"/>
        <v>0</v>
      </c>
      <c r="AJ14" s="116">
        <f t="shared" si="1"/>
        <v>0</v>
      </c>
    </row>
    <row r="15" spans="1:36" x14ac:dyDescent="0.25">
      <c r="A15" s="117"/>
      <c r="B15" s="118" t="s">
        <v>146</v>
      </c>
      <c r="C15" s="117"/>
      <c r="D15" s="117"/>
      <c r="E15" s="117"/>
      <c r="F15" s="119"/>
      <c r="G15" s="120"/>
      <c r="H15" s="120"/>
      <c r="I15" s="120"/>
      <c r="J15" s="121"/>
      <c r="K15" s="121"/>
      <c r="L15" s="120"/>
      <c r="M15" s="120"/>
      <c r="N15" s="120"/>
      <c r="O15" s="120"/>
      <c r="AB15" s="116">
        <f t="shared" si="5"/>
        <v>0</v>
      </c>
      <c r="AC15" s="116">
        <f t="shared" si="1"/>
        <v>0</v>
      </c>
      <c r="AD15" s="116">
        <f t="shared" si="1"/>
        <v>0</v>
      </c>
      <c r="AE15" s="116">
        <f t="shared" si="1"/>
        <v>0</v>
      </c>
      <c r="AF15" s="116">
        <f t="shared" si="1"/>
        <v>0</v>
      </c>
      <c r="AG15" s="116">
        <f t="shared" si="1"/>
        <v>0</v>
      </c>
      <c r="AH15" s="116">
        <f t="shared" si="1"/>
        <v>0</v>
      </c>
      <c r="AI15" s="116">
        <f t="shared" si="1"/>
        <v>0</v>
      </c>
      <c r="AJ15" s="116">
        <f t="shared" si="1"/>
        <v>0</v>
      </c>
    </row>
    <row r="16" spans="1:36" s="88" customFormat="1" x14ac:dyDescent="0.25">
      <c r="A16" s="404"/>
      <c r="B16" s="405" t="s">
        <v>147</v>
      </c>
      <c r="C16" s="404"/>
      <c r="D16" s="404"/>
      <c r="E16" s="404"/>
      <c r="F16" s="85" t="s">
        <v>7</v>
      </c>
      <c r="G16" s="86">
        <f>SUM(G17:G20)</f>
        <v>3699109.2957180208</v>
      </c>
      <c r="H16" s="86">
        <f t="shared" ref="H16:O16" si="7">SUM(H17:H20)</f>
        <v>44466.16840000001</v>
      </c>
      <c r="I16" s="86">
        <f t="shared" si="7"/>
        <v>504124.59301072074</v>
      </c>
      <c r="J16" s="86">
        <f t="shared" si="7"/>
        <v>249562.77968072068</v>
      </c>
      <c r="K16" s="86">
        <f t="shared" si="7"/>
        <v>254561.81</v>
      </c>
      <c r="L16" s="86">
        <f t="shared" si="7"/>
        <v>1212275.7462616297</v>
      </c>
      <c r="M16" s="86">
        <f t="shared" si="7"/>
        <v>1756516.8280456702</v>
      </c>
      <c r="N16" s="86">
        <f t="shared" si="7"/>
        <v>3472917.1673180205</v>
      </c>
      <c r="O16" s="86">
        <f t="shared" si="7"/>
        <v>181725.96</v>
      </c>
      <c r="P16" s="87">
        <f>I16/I10*100</f>
        <v>59.938415801167032</v>
      </c>
      <c r="Q16" s="87"/>
      <c r="S16" s="122">
        <v>3699109.2957180208</v>
      </c>
      <c r="T16" s="122">
        <v>44466.16840000001</v>
      </c>
      <c r="U16" s="122">
        <v>504124.59301072074</v>
      </c>
      <c r="V16" s="122">
        <v>249562.77968072071</v>
      </c>
      <c r="W16" s="122">
        <v>254561.81333000003</v>
      </c>
      <c r="X16" s="122">
        <v>1212275.7462616297</v>
      </c>
      <c r="Y16" s="122">
        <v>1756516.8280456702</v>
      </c>
      <c r="Z16" s="122">
        <v>3472917.1673180209</v>
      </c>
      <c r="AA16" s="122">
        <v>181725.96</v>
      </c>
      <c r="AB16" s="116">
        <f t="shared" si="5"/>
        <v>0</v>
      </c>
      <c r="AC16" s="116">
        <f t="shared" si="1"/>
        <v>0</v>
      </c>
      <c r="AD16" s="116">
        <f t="shared" si="1"/>
        <v>0</v>
      </c>
      <c r="AE16" s="116">
        <f t="shared" si="1"/>
        <v>0</v>
      </c>
      <c r="AF16" s="116">
        <f t="shared" si="1"/>
        <v>-3.3300000359304249E-3</v>
      </c>
      <c r="AG16" s="116">
        <f t="shared" si="1"/>
        <v>0</v>
      </c>
      <c r="AH16" s="116">
        <f t="shared" si="1"/>
        <v>0</v>
      </c>
      <c r="AI16" s="116">
        <f t="shared" si="1"/>
        <v>0</v>
      </c>
      <c r="AJ16" s="116">
        <f t="shared" si="1"/>
        <v>0</v>
      </c>
    </row>
    <row r="17" spans="1:36" s="88" customFormat="1" x14ac:dyDescent="0.25">
      <c r="A17" s="404"/>
      <c r="B17" s="406"/>
      <c r="C17" s="404"/>
      <c r="D17" s="404"/>
      <c r="E17" s="404"/>
      <c r="F17" s="89" t="s">
        <v>8</v>
      </c>
      <c r="G17" s="86">
        <f>G32+G37+G42+G47+G52+G57+G62+G67+G72+G77+G82+G87+G92+G97+G102+G107+G112+G117+G127+G132+G137+G142+G147+G152+G157+G162+G167+G192+G197+G202+G212+G217+G222+G257+G262+G267+G272+G277+G332+G337+G352+G357+G362+G367+G372+G377+G382</f>
        <v>712500</v>
      </c>
      <c r="H17" s="86">
        <f>H32+H37+H42+H47+H52+H57+H62+H67+H72+H77+H82+H87+H92+H97+H102+H107+H112+H117+H127+H132+H137+H142+H147+H152+H157+H162+H167+H192+H197+H202+H212+H217+H222+H257+H262+H267+H272+H277+H332+H337+H352+H357+H362+H367+H372+H377+H382</f>
        <v>0</v>
      </c>
      <c r="I17" s="86">
        <f t="shared" ref="I17:M20" si="8">I32+I37+I42+I47+I52+I57+I62+I67+I72+I77+I82+I87+I92+I97+I102+I107+I112+I117+I127+I132+I137+I142+I147+I152+I157+I162+I167+I192+I197+I202+I212+I217+I222+I257+I262+I267+I272+I277+I332+I337+I352+I357+I362+I367+I372+I377+I382</f>
        <v>0</v>
      </c>
      <c r="J17" s="86">
        <f t="shared" si="8"/>
        <v>0</v>
      </c>
      <c r="K17" s="86">
        <f t="shared" si="8"/>
        <v>0</v>
      </c>
      <c r="L17" s="86">
        <f t="shared" si="8"/>
        <v>0</v>
      </c>
      <c r="M17" s="86">
        <f t="shared" si="8"/>
        <v>712500</v>
      </c>
      <c r="N17" s="86">
        <f>SUM(I17+L17)+M17</f>
        <v>712500</v>
      </c>
      <c r="O17" s="86">
        <f t="shared" ref="O17:O20" si="9">O32+O37+O42+O47+O52+O57+O62+O67+O72+O77+O82+O87+O92+O97+O102+O107+O112+O117+O127+O132+O137+O142+O147+O152+O157+O162+O167+O192+O197+O202+O212+O217+O222+O257+O262+O267+O272+O277+O332+O337+O352+O357+O362+O367+O372+O377+O382</f>
        <v>0</v>
      </c>
      <c r="P17" s="87"/>
      <c r="Q17" s="87"/>
      <c r="S17" s="122">
        <v>712500</v>
      </c>
      <c r="T17" s="122">
        <v>0</v>
      </c>
      <c r="U17" s="122">
        <v>0</v>
      </c>
      <c r="V17" s="122">
        <v>0</v>
      </c>
      <c r="W17" s="122">
        <v>0</v>
      </c>
      <c r="X17" s="122">
        <v>0</v>
      </c>
      <c r="Y17" s="122">
        <v>712500</v>
      </c>
      <c r="Z17" s="122">
        <v>712500</v>
      </c>
      <c r="AA17" s="122">
        <v>0</v>
      </c>
      <c r="AB17" s="116">
        <f t="shared" si="5"/>
        <v>0</v>
      </c>
      <c r="AC17" s="116">
        <f t="shared" si="1"/>
        <v>0</v>
      </c>
      <c r="AD17" s="116">
        <f t="shared" si="1"/>
        <v>0</v>
      </c>
      <c r="AE17" s="116">
        <f t="shared" si="1"/>
        <v>0</v>
      </c>
      <c r="AF17" s="116">
        <f t="shared" si="1"/>
        <v>0</v>
      </c>
      <c r="AG17" s="116">
        <f t="shared" si="1"/>
        <v>0</v>
      </c>
      <c r="AH17" s="116">
        <f t="shared" si="1"/>
        <v>0</v>
      </c>
      <c r="AI17" s="116">
        <f t="shared" si="1"/>
        <v>0</v>
      </c>
      <c r="AJ17" s="116">
        <f t="shared" si="1"/>
        <v>0</v>
      </c>
    </row>
    <row r="18" spans="1:36" s="88" customFormat="1" x14ac:dyDescent="0.25">
      <c r="A18" s="404"/>
      <c r="B18" s="406"/>
      <c r="C18" s="404"/>
      <c r="D18" s="404"/>
      <c r="E18" s="404"/>
      <c r="F18" s="89" t="s">
        <v>9</v>
      </c>
      <c r="G18" s="86">
        <f t="shared" ref="G18:H20" si="10">G33+G38+G43+G48+G53+G58+G63+G68+G73+G78+G83+G88+G93+G98+G103+G108+G113+G118+G128+G133+G138+G143+G148+G153+G158+G163+G168+G193+G198+G203+G213+G218+G223+G258+G263+G268+G273+G278+G333+G338+G353+G358+G363+G368+G373+G378+G383</f>
        <v>2346782.14</v>
      </c>
      <c r="H18" s="86">
        <f t="shared" si="10"/>
        <v>285.8</v>
      </c>
      <c r="I18" s="86">
        <f t="shared" si="8"/>
        <v>245618.65</v>
      </c>
      <c r="J18" s="86">
        <f t="shared" si="8"/>
        <v>75148.87</v>
      </c>
      <c r="K18" s="86">
        <f t="shared" si="8"/>
        <v>170469.78</v>
      </c>
      <c r="L18" s="86">
        <f t="shared" si="8"/>
        <v>1031363.46</v>
      </c>
      <c r="M18" s="86">
        <f t="shared" si="8"/>
        <v>888883.66999999993</v>
      </c>
      <c r="N18" s="86">
        <f t="shared" ref="N18:N25" si="11">SUM(I18+L18)+M18</f>
        <v>2165865.7799999998</v>
      </c>
      <c r="O18" s="86">
        <f t="shared" si="9"/>
        <v>180630.56</v>
      </c>
      <c r="P18" s="87"/>
      <c r="Q18" s="87"/>
      <c r="S18" s="122">
        <v>2346782.1399999997</v>
      </c>
      <c r="T18" s="122">
        <v>285.8</v>
      </c>
      <c r="U18" s="122">
        <v>245618.65</v>
      </c>
      <c r="V18" s="122">
        <v>75148.87</v>
      </c>
      <c r="W18" s="122">
        <v>170469.78</v>
      </c>
      <c r="X18" s="122">
        <v>1031363.46</v>
      </c>
      <c r="Y18" s="122">
        <v>888883.67</v>
      </c>
      <c r="Z18" s="122">
        <v>2165865.7799999998</v>
      </c>
      <c r="AA18" s="122">
        <v>180630.56</v>
      </c>
      <c r="AB18" s="116">
        <f t="shared" si="5"/>
        <v>0</v>
      </c>
      <c r="AC18" s="116">
        <f t="shared" si="1"/>
        <v>0</v>
      </c>
      <c r="AD18" s="116">
        <f t="shared" si="1"/>
        <v>0</v>
      </c>
      <c r="AE18" s="116">
        <f t="shared" si="1"/>
        <v>0</v>
      </c>
      <c r="AF18" s="116">
        <f t="shared" si="1"/>
        <v>0</v>
      </c>
      <c r="AG18" s="116">
        <f t="shared" si="1"/>
        <v>0</v>
      </c>
      <c r="AH18" s="116">
        <f t="shared" si="1"/>
        <v>0</v>
      </c>
      <c r="AI18" s="116">
        <f t="shared" si="1"/>
        <v>0</v>
      </c>
      <c r="AJ18" s="116">
        <f t="shared" si="1"/>
        <v>0</v>
      </c>
    </row>
    <row r="19" spans="1:36" s="88" customFormat="1" x14ac:dyDescent="0.25">
      <c r="A19" s="404"/>
      <c r="B19" s="406"/>
      <c r="C19" s="404"/>
      <c r="D19" s="404"/>
      <c r="E19" s="404"/>
      <c r="F19" s="89" t="s">
        <v>10</v>
      </c>
      <c r="G19" s="86">
        <f t="shared" si="10"/>
        <v>322786.18247802072</v>
      </c>
      <c r="H19" s="86">
        <f t="shared" si="10"/>
        <v>42665.568400000004</v>
      </c>
      <c r="I19" s="86">
        <f t="shared" si="8"/>
        <v>235893.10405072069</v>
      </c>
      <c r="J19" s="86">
        <f t="shared" si="8"/>
        <v>151801.07072072069</v>
      </c>
      <c r="K19" s="86">
        <f t="shared" si="8"/>
        <v>84092.03</v>
      </c>
      <c r="L19" s="86">
        <f t="shared" si="8"/>
        <v>6306.999811629812</v>
      </c>
      <c r="M19" s="86">
        <f t="shared" si="8"/>
        <v>36825.110215670218</v>
      </c>
      <c r="N19" s="86">
        <f t="shared" si="11"/>
        <v>279025.21407802071</v>
      </c>
      <c r="O19" s="86">
        <f t="shared" si="9"/>
        <v>1095.4000000000001</v>
      </c>
      <c r="P19" s="87"/>
      <c r="Q19" s="87"/>
      <c r="S19" s="122">
        <v>322786.18247802078</v>
      </c>
      <c r="T19" s="122">
        <v>42665.568400000004</v>
      </c>
      <c r="U19" s="122">
        <v>235893.10405072075</v>
      </c>
      <c r="V19" s="122">
        <v>151801.07072072072</v>
      </c>
      <c r="W19" s="122">
        <v>84092.033330000035</v>
      </c>
      <c r="X19" s="122">
        <v>6306.999811629812</v>
      </c>
      <c r="Y19" s="122">
        <v>36825.110215670218</v>
      </c>
      <c r="Z19" s="122">
        <v>279025.21407802077</v>
      </c>
      <c r="AA19" s="122">
        <v>1095.4000000000001</v>
      </c>
      <c r="AB19" s="116">
        <f t="shared" si="5"/>
        <v>0</v>
      </c>
      <c r="AC19" s="116">
        <f t="shared" si="1"/>
        <v>0</v>
      </c>
      <c r="AD19" s="116">
        <f t="shared" si="1"/>
        <v>0</v>
      </c>
      <c r="AE19" s="116">
        <f t="shared" si="1"/>
        <v>0</v>
      </c>
      <c r="AF19" s="116">
        <f t="shared" si="1"/>
        <v>-3.3300000359304249E-3</v>
      </c>
      <c r="AG19" s="116">
        <f t="shared" si="1"/>
        <v>0</v>
      </c>
      <c r="AH19" s="116">
        <f t="shared" si="1"/>
        <v>0</v>
      </c>
      <c r="AI19" s="116">
        <f t="shared" si="1"/>
        <v>0</v>
      </c>
      <c r="AJ19" s="116">
        <f t="shared" si="1"/>
        <v>0</v>
      </c>
    </row>
    <row r="20" spans="1:36" s="88" customFormat="1" x14ac:dyDescent="0.25">
      <c r="A20" s="404"/>
      <c r="B20" s="407"/>
      <c r="C20" s="404"/>
      <c r="D20" s="404"/>
      <c r="E20" s="404"/>
      <c r="F20" s="89" t="s">
        <v>11</v>
      </c>
      <c r="G20" s="86">
        <f t="shared" si="10"/>
        <v>317040.97323999996</v>
      </c>
      <c r="H20" s="86">
        <f t="shared" si="10"/>
        <v>1514.8</v>
      </c>
      <c r="I20" s="86">
        <f t="shared" si="8"/>
        <v>22612.838960000001</v>
      </c>
      <c r="J20" s="86">
        <f t="shared" si="8"/>
        <v>22612.838960000001</v>
      </c>
      <c r="K20" s="86">
        <f t="shared" si="8"/>
        <v>0</v>
      </c>
      <c r="L20" s="86">
        <f t="shared" si="8"/>
        <v>174605.28644999999</v>
      </c>
      <c r="M20" s="86">
        <f t="shared" si="8"/>
        <v>118308.04783</v>
      </c>
      <c r="N20" s="86">
        <f t="shared" si="11"/>
        <v>315526.17323999997</v>
      </c>
      <c r="O20" s="86">
        <f t="shared" si="9"/>
        <v>0</v>
      </c>
      <c r="P20" s="87"/>
      <c r="Q20" s="87"/>
      <c r="S20" s="122">
        <v>317040.97323999996</v>
      </c>
      <c r="T20" s="122">
        <v>1514.8</v>
      </c>
      <c r="U20" s="122">
        <v>22612.838960000001</v>
      </c>
      <c r="V20" s="122">
        <v>22612.838960000001</v>
      </c>
      <c r="W20" s="122">
        <v>0</v>
      </c>
      <c r="X20" s="122">
        <v>174605.28644999999</v>
      </c>
      <c r="Y20" s="122">
        <v>118308.04783</v>
      </c>
      <c r="Z20" s="122">
        <v>315526.17323999997</v>
      </c>
      <c r="AA20" s="122">
        <v>0</v>
      </c>
      <c r="AB20" s="116">
        <f t="shared" si="5"/>
        <v>0</v>
      </c>
      <c r="AC20" s="116">
        <f t="shared" si="1"/>
        <v>0</v>
      </c>
      <c r="AD20" s="116">
        <f t="shared" si="1"/>
        <v>0</v>
      </c>
      <c r="AE20" s="116">
        <f t="shared" si="1"/>
        <v>0</v>
      </c>
      <c r="AF20" s="116">
        <f t="shared" si="1"/>
        <v>0</v>
      </c>
      <c r="AG20" s="116">
        <f t="shared" si="1"/>
        <v>0</v>
      </c>
      <c r="AH20" s="116">
        <f t="shared" si="1"/>
        <v>0</v>
      </c>
      <c r="AI20" s="116">
        <f t="shared" si="1"/>
        <v>0</v>
      </c>
      <c r="AJ20" s="116">
        <f t="shared" si="1"/>
        <v>0</v>
      </c>
    </row>
    <row r="21" spans="1:36" s="93" customFormat="1" x14ac:dyDescent="0.25">
      <c r="A21" s="408"/>
      <c r="B21" s="409" t="s">
        <v>148</v>
      </c>
      <c r="C21" s="408"/>
      <c r="D21" s="408"/>
      <c r="E21" s="408"/>
      <c r="F21" s="90" t="s">
        <v>7</v>
      </c>
      <c r="G21" s="91">
        <f>G22+G23+G24+G25</f>
        <v>2394778.5325287501</v>
      </c>
      <c r="H21" s="91">
        <f>H22+H23+H24+H25</f>
        <v>210260.33</v>
      </c>
      <c r="I21" s="91">
        <f t="shared" ref="I21:M21" si="12">I22+I23+I24+I25</f>
        <v>336946.33999999997</v>
      </c>
      <c r="J21" s="91">
        <f t="shared" si="12"/>
        <v>301696.34000000003</v>
      </c>
      <c r="K21" s="91">
        <f t="shared" si="12"/>
        <v>35250</v>
      </c>
      <c r="L21" s="91">
        <f t="shared" si="12"/>
        <v>321489.99</v>
      </c>
      <c r="M21" s="91">
        <f t="shared" si="12"/>
        <v>299668.14252875</v>
      </c>
      <c r="N21" s="91">
        <f t="shared" si="11"/>
        <v>958104.47252874996</v>
      </c>
      <c r="O21" s="91">
        <f>SUM(O22:O25)</f>
        <v>1226413.73</v>
      </c>
      <c r="P21" s="92"/>
      <c r="Q21" s="92"/>
      <c r="S21" s="123">
        <v>2394778.5325287497</v>
      </c>
      <c r="T21" s="123">
        <v>210260.33000000002</v>
      </c>
      <c r="U21" s="123">
        <v>336946.33999999997</v>
      </c>
      <c r="V21" s="123">
        <v>301696.34000000003</v>
      </c>
      <c r="W21" s="123">
        <v>35249.999999999942</v>
      </c>
      <c r="X21" s="123">
        <v>321489.99</v>
      </c>
      <c r="Y21" s="123">
        <v>299668.14252875</v>
      </c>
      <c r="Z21" s="123">
        <v>958104.47252874996</v>
      </c>
      <c r="AA21" s="123">
        <v>1226413.73</v>
      </c>
      <c r="AB21" s="116">
        <f t="shared" si="5"/>
        <v>0</v>
      </c>
      <c r="AC21" s="116">
        <f t="shared" si="1"/>
        <v>0</v>
      </c>
      <c r="AD21" s="116">
        <f t="shared" si="1"/>
        <v>0</v>
      </c>
      <c r="AE21" s="116">
        <f>J21-V21</f>
        <v>0</v>
      </c>
      <c r="AF21" s="116">
        <f t="shared" si="1"/>
        <v>5.8207660913467407E-11</v>
      </c>
      <c r="AG21" s="116">
        <f t="shared" si="1"/>
        <v>0</v>
      </c>
      <c r="AH21" s="116">
        <f t="shared" si="1"/>
        <v>0</v>
      </c>
      <c r="AI21" s="116">
        <f t="shared" si="1"/>
        <v>0</v>
      </c>
      <c r="AJ21" s="116">
        <f t="shared" si="1"/>
        <v>0</v>
      </c>
    </row>
    <row r="22" spans="1:36" s="93" customFormat="1" x14ac:dyDescent="0.25">
      <c r="A22" s="408"/>
      <c r="B22" s="410"/>
      <c r="C22" s="408"/>
      <c r="D22" s="408"/>
      <c r="E22" s="408"/>
      <c r="F22" s="94" t="s">
        <v>8</v>
      </c>
      <c r="G22" s="91">
        <f>G172+G177+G182+G227+G232+G237+G242+G282+G287+G292+G297+G302+G307+G312+G317+G322+G342+G387+G392+G397+G402+G407</f>
        <v>0</v>
      </c>
      <c r="H22" s="91">
        <f>H172+H177+H182+H227+H232+H237+H242+H282+H287+H292+H297+H302+H307+H312+H317+H322+H342+H387+H392+H397+H402+H407</f>
        <v>0</v>
      </c>
      <c r="I22" s="91">
        <f t="shared" ref="I22:M22" si="13">I172+I177+I182+I227+I232+I237+I242+I282+I287+I292+I297+I302+I307+I312+I317+I322+I342+I387+I392+I397+I402+I407</f>
        <v>0</v>
      </c>
      <c r="J22" s="91">
        <f t="shared" si="13"/>
        <v>0</v>
      </c>
      <c r="K22" s="91">
        <f t="shared" si="13"/>
        <v>0</v>
      </c>
      <c r="L22" s="91">
        <f t="shared" si="13"/>
        <v>0</v>
      </c>
      <c r="M22" s="91">
        <f t="shared" si="13"/>
        <v>0</v>
      </c>
      <c r="N22" s="91">
        <f t="shared" si="11"/>
        <v>0</v>
      </c>
      <c r="O22" s="91">
        <f t="shared" ref="O22:O25" si="14">O172+O177+O182+O227+O232+O237+O242+O282+O287+O292+O297+O302+O307+O312+O317+O322+O342+O387+O392+O397+O402+O407</f>
        <v>0</v>
      </c>
      <c r="P22" s="92"/>
      <c r="Q22" s="92"/>
      <c r="S22" s="123">
        <v>0</v>
      </c>
      <c r="T22" s="123">
        <v>0</v>
      </c>
      <c r="U22" s="123">
        <v>0</v>
      </c>
      <c r="V22" s="123">
        <v>0</v>
      </c>
      <c r="W22" s="123">
        <v>0</v>
      </c>
      <c r="X22" s="123">
        <v>0</v>
      </c>
      <c r="Y22" s="123">
        <v>0</v>
      </c>
      <c r="Z22" s="123">
        <v>0</v>
      </c>
      <c r="AA22" s="123">
        <v>0</v>
      </c>
      <c r="AB22" s="116">
        <f t="shared" si="5"/>
        <v>0</v>
      </c>
      <c r="AC22" s="116">
        <f t="shared" si="1"/>
        <v>0</v>
      </c>
      <c r="AD22" s="116">
        <f t="shared" si="1"/>
        <v>0</v>
      </c>
      <c r="AE22" s="116">
        <f t="shared" si="1"/>
        <v>0</v>
      </c>
      <c r="AF22" s="116">
        <f t="shared" si="1"/>
        <v>0</v>
      </c>
      <c r="AG22" s="116">
        <f t="shared" si="1"/>
        <v>0</v>
      </c>
      <c r="AH22" s="116">
        <f t="shared" si="1"/>
        <v>0</v>
      </c>
      <c r="AI22" s="116">
        <f t="shared" si="1"/>
        <v>0</v>
      </c>
      <c r="AJ22" s="116">
        <f t="shared" si="1"/>
        <v>0</v>
      </c>
    </row>
    <row r="23" spans="1:36" s="93" customFormat="1" x14ac:dyDescent="0.25">
      <c r="A23" s="408"/>
      <c r="B23" s="410"/>
      <c r="C23" s="408"/>
      <c r="D23" s="408"/>
      <c r="E23" s="408"/>
      <c r="F23" s="94" t="s">
        <v>9</v>
      </c>
      <c r="G23" s="91">
        <f t="shared" ref="G23:M25" si="15">G173+G178+G183+G228+G233+G238+G243+G283+G288+G293+G298+G303+G308+G313+G318+G323+G343+G388+G393+G398+G403+G408</f>
        <v>2147350.6242087502</v>
      </c>
      <c r="H23" s="91">
        <f t="shared" si="15"/>
        <v>161231.34</v>
      </c>
      <c r="I23" s="91">
        <f t="shared" si="15"/>
        <v>275000</v>
      </c>
      <c r="J23" s="91">
        <f t="shared" si="15"/>
        <v>275000</v>
      </c>
      <c r="K23" s="91">
        <f t="shared" si="15"/>
        <v>0</v>
      </c>
      <c r="L23" s="91">
        <f t="shared" si="15"/>
        <v>260166.69583999997</v>
      </c>
      <c r="M23" s="91">
        <f t="shared" si="15"/>
        <v>229538.85836874999</v>
      </c>
      <c r="N23" s="91">
        <f t="shared" si="11"/>
        <v>764705.55420874991</v>
      </c>
      <c r="O23" s="91">
        <f t="shared" si="14"/>
        <v>1221413.73</v>
      </c>
      <c r="P23" s="92">
        <f>I21/I10*100</f>
        <v>40.061584198832975</v>
      </c>
      <c r="Q23" s="92"/>
      <c r="S23" s="123">
        <v>2147350.6242087497</v>
      </c>
      <c r="T23" s="123">
        <v>161231.34</v>
      </c>
      <c r="U23" s="123">
        <v>275000</v>
      </c>
      <c r="V23" s="123">
        <v>275000</v>
      </c>
      <c r="W23" s="123">
        <v>0</v>
      </c>
      <c r="X23" s="123">
        <v>260166.69583999997</v>
      </c>
      <c r="Y23" s="123">
        <v>229538.85836874999</v>
      </c>
      <c r="Z23" s="123">
        <v>764705.55420874991</v>
      </c>
      <c r="AA23" s="123">
        <v>1221413.73</v>
      </c>
      <c r="AB23" s="116">
        <f t="shared" si="5"/>
        <v>0</v>
      </c>
      <c r="AC23" s="116">
        <f t="shared" si="1"/>
        <v>0</v>
      </c>
      <c r="AD23" s="116">
        <f t="shared" si="1"/>
        <v>0</v>
      </c>
      <c r="AE23" s="116">
        <f t="shared" si="1"/>
        <v>0</v>
      </c>
      <c r="AF23" s="116">
        <f t="shared" si="1"/>
        <v>0</v>
      </c>
      <c r="AG23" s="116">
        <f t="shared" si="1"/>
        <v>0</v>
      </c>
      <c r="AH23" s="116">
        <f t="shared" si="1"/>
        <v>0</v>
      </c>
      <c r="AI23" s="116">
        <f t="shared" si="1"/>
        <v>0</v>
      </c>
      <c r="AJ23" s="116">
        <f t="shared" si="1"/>
        <v>0</v>
      </c>
    </row>
    <row r="24" spans="1:36" s="93" customFormat="1" x14ac:dyDescent="0.25">
      <c r="A24" s="408"/>
      <c r="B24" s="410"/>
      <c r="C24" s="408"/>
      <c r="D24" s="408"/>
      <c r="E24" s="408"/>
      <c r="F24" s="94" t="s">
        <v>10</v>
      </c>
      <c r="G24" s="91">
        <f t="shared" si="15"/>
        <v>144947.90831999999</v>
      </c>
      <c r="H24" s="91">
        <f t="shared" si="15"/>
        <v>49028.99</v>
      </c>
      <c r="I24" s="91">
        <f t="shared" si="15"/>
        <v>53466.34</v>
      </c>
      <c r="J24" s="91">
        <f>J174+J179+J184+J229+J234+J239+J244+J284+J289+J294+J299+J304+J309+J314+J319+J324+J344+J389+J394+J399+J404+J409</f>
        <v>18216.34</v>
      </c>
      <c r="K24" s="91">
        <f t="shared" si="15"/>
        <v>35250</v>
      </c>
      <c r="L24" s="91">
        <f t="shared" si="15"/>
        <v>19323.294159999998</v>
      </c>
      <c r="M24" s="91">
        <f t="shared" si="15"/>
        <v>18129.284159999999</v>
      </c>
      <c r="N24" s="91">
        <f t="shared" si="11"/>
        <v>90918.918319999982</v>
      </c>
      <c r="O24" s="91">
        <f t="shared" si="14"/>
        <v>5000</v>
      </c>
      <c r="P24" s="92"/>
      <c r="Q24" s="92"/>
      <c r="S24" s="123">
        <v>144947.90831999999</v>
      </c>
      <c r="T24" s="123">
        <v>49028.990000000005</v>
      </c>
      <c r="U24" s="123">
        <v>53466.34</v>
      </c>
      <c r="V24" s="123">
        <v>18216.34</v>
      </c>
      <c r="W24" s="123">
        <v>35250</v>
      </c>
      <c r="X24" s="123">
        <v>19323.294160000001</v>
      </c>
      <c r="Y24" s="123">
        <v>18129.284159999999</v>
      </c>
      <c r="Z24" s="123">
        <v>90918.918319999997</v>
      </c>
      <c r="AA24" s="123">
        <v>5000</v>
      </c>
      <c r="AB24" s="116">
        <f t="shared" si="5"/>
        <v>0</v>
      </c>
      <c r="AC24" s="116">
        <f t="shared" si="1"/>
        <v>0</v>
      </c>
      <c r="AD24" s="116">
        <f t="shared" si="1"/>
        <v>0</v>
      </c>
      <c r="AE24" s="116">
        <f>J24-V24</f>
        <v>0</v>
      </c>
      <c r="AF24" s="116">
        <f t="shared" si="1"/>
        <v>0</v>
      </c>
      <c r="AG24" s="116">
        <f t="shared" si="1"/>
        <v>0</v>
      </c>
      <c r="AH24" s="116">
        <f t="shared" si="1"/>
        <v>0</v>
      </c>
      <c r="AI24" s="116">
        <f t="shared" si="1"/>
        <v>0</v>
      </c>
      <c r="AJ24" s="116">
        <f t="shared" si="1"/>
        <v>0</v>
      </c>
    </row>
    <row r="25" spans="1:36" s="93" customFormat="1" x14ac:dyDescent="0.25">
      <c r="A25" s="408"/>
      <c r="B25" s="411"/>
      <c r="C25" s="408"/>
      <c r="D25" s="408"/>
      <c r="E25" s="408"/>
      <c r="F25" s="94" t="s">
        <v>11</v>
      </c>
      <c r="G25" s="91">
        <f t="shared" si="15"/>
        <v>102480</v>
      </c>
      <c r="H25" s="91">
        <f t="shared" si="15"/>
        <v>0</v>
      </c>
      <c r="I25" s="91">
        <f t="shared" si="15"/>
        <v>8480</v>
      </c>
      <c r="J25" s="91">
        <f t="shared" si="15"/>
        <v>8480</v>
      </c>
      <c r="K25" s="91">
        <f t="shared" si="15"/>
        <v>0</v>
      </c>
      <c r="L25" s="91">
        <f t="shared" si="15"/>
        <v>42000</v>
      </c>
      <c r="M25" s="91">
        <f t="shared" si="15"/>
        <v>52000</v>
      </c>
      <c r="N25" s="91">
        <f t="shared" si="11"/>
        <v>102480</v>
      </c>
      <c r="O25" s="91">
        <f t="shared" si="14"/>
        <v>0</v>
      </c>
      <c r="P25" s="92"/>
      <c r="Q25" s="92"/>
      <c r="S25" s="123">
        <v>102480</v>
      </c>
      <c r="T25" s="123">
        <v>0</v>
      </c>
      <c r="U25" s="123">
        <v>8480</v>
      </c>
      <c r="V25" s="123">
        <v>8480</v>
      </c>
      <c r="W25" s="123">
        <v>0</v>
      </c>
      <c r="X25" s="123">
        <v>42000</v>
      </c>
      <c r="Y25" s="123">
        <v>52000</v>
      </c>
      <c r="Z25" s="123">
        <v>102480</v>
      </c>
      <c r="AA25" s="123">
        <v>0</v>
      </c>
      <c r="AB25" s="116">
        <f t="shared" si="5"/>
        <v>0</v>
      </c>
      <c r="AC25" s="116">
        <f t="shared" si="1"/>
        <v>0</v>
      </c>
      <c r="AD25" s="116">
        <f t="shared" si="1"/>
        <v>0</v>
      </c>
      <c r="AE25" s="116">
        <f t="shared" si="1"/>
        <v>0</v>
      </c>
      <c r="AF25" s="116">
        <f t="shared" si="1"/>
        <v>0</v>
      </c>
      <c r="AG25" s="116">
        <f t="shared" si="1"/>
        <v>0</v>
      </c>
      <c r="AH25" s="116">
        <f t="shared" si="1"/>
        <v>0</v>
      </c>
      <c r="AI25" s="116">
        <f t="shared" si="1"/>
        <v>0</v>
      </c>
      <c r="AJ25" s="116">
        <f t="shared" si="1"/>
        <v>0</v>
      </c>
    </row>
    <row r="26" spans="1:36" s="68" customFormat="1" ht="18.75" x14ac:dyDescent="0.25">
      <c r="A26" s="390" t="s">
        <v>12</v>
      </c>
      <c r="B26" s="403" t="s">
        <v>13</v>
      </c>
      <c r="C26" s="396"/>
      <c r="D26" s="392"/>
      <c r="E26" s="392"/>
      <c r="F26" s="65" t="s">
        <v>7</v>
      </c>
      <c r="G26" s="66">
        <f t="shared" ref="G26:M26" si="16">SUM(G27:G30)</f>
        <v>1509806.5084000002</v>
      </c>
      <c r="H26" s="66">
        <f>SUM(H27:H30)</f>
        <v>21079.918399999995</v>
      </c>
      <c r="I26" s="66">
        <f t="shared" si="16"/>
        <v>71391.06</v>
      </c>
      <c r="J26" s="124">
        <f t="shared" si="16"/>
        <v>33391.06</v>
      </c>
      <c r="K26" s="124">
        <f>I26-J26</f>
        <v>38000</v>
      </c>
      <c r="L26" s="66">
        <f t="shared" si="16"/>
        <v>329400</v>
      </c>
      <c r="M26" s="66">
        <f t="shared" si="16"/>
        <v>1057935.53</v>
      </c>
      <c r="N26" s="66">
        <f t="shared" ref="N26:N89" si="17">SUM(I26,L26:M26)</f>
        <v>1458726.59</v>
      </c>
      <c r="O26" s="66">
        <f>SUM(O27:O30)</f>
        <v>30000</v>
      </c>
      <c r="P26" s="67">
        <f>G26/G10*100</f>
        <v>24.775751555544726</v>
      </c>
      <c r="Q26" s="67"/>
      <c r="S26" s="125"/>
      <c r="T26" s="125"/>
      <c r="U26" s="125"/>
      <c r="V26" s="125"/>
      <c r="W26" s="125"/>
      <c r="X26" s="125"/>
      <c r="Y26" s="125"/>
      <c r="Z26" s="125"/>
      <c r="AA26" s="125"/>
    </row>
    <row r="27" spans="1:36" s="68" customFormat="1" ht="18.75" x14ac:dyDescent="0.25">
      <c r="A27" s="390"/>
      <c r="B27" s="403"/>
      <c r="C27" s="396"/>
      <c r="D27" s="392"/>
      <c r="E27" s="392"/>
      <c r="F27" s="69" t="s">
        <v>8</v>
      </c>
      <c r="G27" s="66">
        <f>SUM(H27:H27,N27:O27)</f>
        <v>712500</v>
      </c>
      <c r="H27" s="66">
        <f>H32+H37+H42+H47+H52+H57+H62+H67+H72+H77+H82+H87+H92+H97+H102+H107+H112+H117</f>
        <v>0</v>
      </c>
      <c r="I27" s="66">
        <f t="shared" ref="I27:M27" si="18">I32+I37+I42+I47+I52+I57+I62+I67+I72+I77+I82+I87+I92+I97+I102+I107+I112+I117</f>
        <v>0</v>
      </c>
      <c r="J27" s="66">
        <f t="shared" si="18"/>
        <v>0</v>
      </c>
      <c r="K27" s="66">
        <f t="shared" si="18"/>
        <v>0</v>
      </c>
      <c r="L27" s="66">
        <f t="shared" si="18"/>
        <v>0</v>
      </c>
      <c r="M27" s="66">
        <f t="shared" si="18"/>
        <v>712500</v>
      </c>
      <c r="N27" s="66">
        <f t="shared" si="17"/>
        <v>712500</v>
      </c>
      <c r="O27" s="66">
        <f t="shared" ref="O27:O30" si="19">O32+O37+O42+O47+O52+O57+O62+O67+O72+O77+O82+O87+O92+O97+O102+O107+O112+O117</f>
        <v>0</v>
      </c>
      <c r="P27" s="67"/>
      <c r="Q27" s="67"/>
      <c r="S27" s="125"/>
      <c r="T27" s="125"/>
      <c r="U27" s="125"/>
      <c r="V27" s="125"/>
      <c r="W27" s="125"/>
      <c r="X27" s="125"/>
      <c r="Y27" s="125"/>
      <c r="Z27" s="125"/>
      <c r="AA27" s="125"/>
    </row>
    <row r="28" spans="1:36" s="68" customFormat="1" ht="18.75" x14ac:dyDescent="0.25">
      <c r="A28" s="390"/>
      <c r="B28" s="403"/>
      <c r="C28" s="396"/>
      <c r="D28" s="392"/>
      <c r="E28" s="392"/>
      <c r="F28" s="69" t="s">
        <v>9</v>
      </c>
      <c r="G28" s="66">
        <f>SUM(H28:H28,N28:O28)</f>
        <v>738621.33000000007</v>
      </c>
      <c r="H28" s="66">
        <f t="shared" ref="H28:M30" si="20">H33+H38+H43+H48+H53+H58+H63+H68+H73+H78+H83+H88+H93+H98+H103+H108+H113+H118</f>
        <v>285.8</v>
      </c>
      <c r="I28" s="66">
        <f t="shared" si="20"/>
        <v>38000</v>
      </c>
      <c r="J28" s="66">
        <f t="shared" si="20"/>
        <v>0</v>
      </c>
      <c r="K28" s="66">
        <f t="shared" si="20"/>
        <v>38000</v>
      </c>
      <c r="L28" s="66">
        <f t="shared" si="20"/>
        <v>324900</v>
      </c>
      <c r="M28" s="66">
        <f t="shared" si="20"/>
        <v>345435.53</v>
      </c>
      <c r="N28" s="66">
        <f>SUM(I28,L28:M28)</f>
        <v>708335.53</v>
      </c>
      <c r="O28" s="66">
        <f t="shared" si="19"/>
        <v>30000</v>
      </c>
      <c r="P28" s="67"/>
      <c r="Q28" s="67"/>
      <c r="S28" s="125"/>
      <c r="T28" s="125"/>
      <c r="U28" s="125"/>
      <c r="V28" s="125"/>
      <c r="W28" s="125"/>
      <c r="X28" s="125"/>
      <c r="Y28" s="125"/>
      <c r="Z28" s="125"/>
      <c r="AA28" s="125"/>
    </row>
    <row r="29" spans="1:36" s="68" customFormat="1" ht="18.75" x14ac:dyDescent="0.25">
      <c r="A29" s="390"/>
      <c r="B29" s="403"/>
      <c r="C29" s="396"/>
      <c r="D29" s="392"/>
      <c r="E29" s="392"/>
      <c r="F29" s="69" t="s">
        <v>10</v>
      </c>
      <c r="G29" s="66">
        <f>SUM(H29:H29,N29:O29)</f>
        <v>57170.378399999994</v>
      </c>
      <c r="H29" s="66">
        <f t="shared" si="20"/>
        <v>19279.318399999996</v>
      </c>
      <c r="I29" s="66">
        <f t="shared" si="20"/>
        <v>33391.06</v>
      </c>
      <c r="J29" s="66">
        <f t="shared" si="20"/>
        <v>33391.06</v>
      </c>
      <c r="K29" s="66">
        <f t="shared" si="20"/>
        <v>0</v>
      </c>
      <c r="L29" s="66">
        <f t="shared" si="20"/>
        <v>4500</v>
      </c>
      <c r="M29" s="66">
        <f t="shared" si="20"/>
        <v>0</v>
      </c>
      <c r="N29" s="66">
        <f t="shared" si="17"/>
        <v>37891.06</v>
      </c>
      <c r="O29" s="66">
        <f t="shared" si="19"/>
        <v>0</v>
      </c>
      <c r="P29" s="67"/>
      <c r="Q29" s="67"/>
      <c r="S29" s="125"/>
      <c r="T29" s="125"/>
      <c r="U29" s="125"/>
      <c r="V29" s="125"/>
      <c r="W29" s="125"/>
      <c r="X29" s="125"/>
      <c r="Y29" s="125"/>
      <c r="Z29" s="125"/>
      <c r="AA29" s="125"/>
    </row>
    <row r="30" spans="1:36" s="68" customFormat="1" ht="18.75" x14ac:dyDescent="0.25">
      <c r="A30" s="390"/>
      <c r="B30" s="403"/>
      <c r="C30" s="396"/>
      <c r="D30" s="392"/>
      <c r="E30" s="392"/>
      <c r="F30" s="69" t="s">
        <v>11</v>
      </c>
      <c r="G30" s="66">
        <f>SUM(H30:H30,N30:O30)</f>
        <v>1514.8</v>
      </c>
      <c r="H30" s="66">
        <f t="shared" si="20"/>
        <v>1514.8</v>
      </c>
      <c r="I30" s="66">
        <f t="shared" si="20"/>
        <v>0</v>
      </c>
      <c r="J30" s="66">
        <f t="shared" si="20"/>
        <v>0</v>
      </c>
      <c r="K30" s="66">
        <f t="shared" si="20"/>
        <v>0</v>
      </c>
      <c r="L30" s="66">
        <f t="shared" si="20"/>
        <v>0</v>
      </c>
      <c r="M30" s="66">
        <f t="shared" si="20"/>
        <v>0</v>
      </c>
      <c r="N30" s="66">
        <f t="shared" si="17"/>
        <v>0</v>
      </c>
      <c r="O30" s="66">
        <f t="shared" si="19"/>
        <v>0</v>
      </c>
      <c r="P30" s="67"/>
      <c r="Q30" s="67"/>
      <c r="S30" s="125"/>
      <c r="T30" s="125"/>
      <c r="U30" s="125"/>
      <c r="V30" s="125"/>
      <c r="W30" s="125"/>
      <c r="X30" s="125"/>
      <c r="Y30" s="125"/>
      <c r="Z30" s="125"/>
      <c r="AA30" s="125"/>
    </row>
    <row r="31" spans="1:36" s="130" customFormat="1" ht="18.75" outlineLevel="1" x14ac:dyDescent="0.25">
      <c r="A31" s="388" t="s">
        <v>210</v>
      </c>
      <c r="B31" s="378" t="s">
        <v>211</v>
      </c>
      <c r="C31" s="378" t="s">
        <v>212</v>
      </c>
      <c r="D31" s="378" t="s">
        <v>213</v>
      </c>
      <c r="E31" s="377">
        <v>2022</v>
      </c>
      <c r="F31" s="126" t="s">
        <v>7</v>
      </c>
      <c r="G31" s="127">
        <f>SUM(G32:G35)</f>
        <v>2501</v>
      </c>
      <c r="H31" s="127">
        <f>SUM(H32:H35)</f>
        <v>2501</v>
      </c>
      <c r="I31" s="127">
        <f>SUM(I32:I35)</f>
        <v>0</v>
      </c>
      <c r="J31" s="128"/>
      <c r="K31" s="121">
        <f>I31-J31</f>
        <v>0</v>
      </c>
      <c r="L31" s="127">
        <f>SUM(L32:L35)</f>
        <v>0</v>
      </c>
      <c r="M31" s="127">
        <f>SUM(M32:M35)</f>
        <v>0</v>
      </c>
      <c r="N31" s="120">
        <f t="shared" si="17"/>
        <v>0</v>
      </c>
      <c r="O31" s="127">
        <f>SUM(O32:O35)</f>
        <v>0</v>
      </c>
      <c r="P31" s="129"/>
      <c r="Q31" s="129"/>
      <c r="S31" s="131"/>
      <c r="T31" s="131"/>
      <c r="U31" s="131"/>
      <c r="V31" s="131"/>
      <c r="W31" s="131"/>
      <c r="X31" s="131"/>
      <c r="Y31" s="131"/>
      <c r="Z31" s="131"/>
      <c r="AA31" s="131"/>
    </row>
    <row r="32" spans="1:36" s="130" customFormat="1" ht="18.75" outlineLevel="1" x14ac:dyDescent="0.25">
      <c r="A32" s="388"/>
      <c r="B32" s="378"/>
      <c r="C32" s="378"/>
      <c r="D32" s="378"/>
      <c r="E32" s="377"/>
      <c r="F32" s="132" t="s">
        <v>8</v>
      </c>
      <c r="G32" s="133">
        <f>SUM(H32:H32,N32:O32)</f>
        <v>0</v>
      </c>
      <c r="H32" s="134">
        <f>H37+H42+H47+H52+H57+H62+H67+H72+H77+H82+H87+H92+H97+H102+H107+H112+H117</f>
        <v>0</v>
      </c>
      <c r="I32" s="134"/>
      <c r="J32" s="135"/>
      <c r="K32" s="136">
        <f t="shared" ref="K32:K97" si="21">I32-J32</f>
        <v>0</v>
      </c>
      <c r="L32" s="134"/>
      <c r="M32" s="134"/>
      <c r="N32" s="120">
        <f t="shared" si="17"/>
        <v>0</v>
      </c>
      <c r="O32" s="134"/>
      <c r="P32" s="129"/>
      <c r="Q32" s="129"/>
      <c r="S32" s="131"/>
      <c r="T32" s="131"/>
      <c r="U32" s="131"/>
      <c r="V32" s="131"/>
      <c r="W32" s="131"/>
      <c r="X32" s="131"/>
      <c r="Y32" s="131"/>
      <c r="Z32" s="131"/>
      <c r="AA32" s="131"/>
    </row>
    <row r="33" spans="1:27" s="130" customFormat="1" ht="18.75" outlineLevel="1" x14ac:dyDescent="0.25">
      <c r="A33" s="388"/>
      <c r="B33" s="378"/>
      <c r="C33" s="378"/>
      <c r="D33" s="378"/>
      <c r="E33" s="377"/>
      <c r="F33" s="132" t="s">
        <v>9</v>
      </c>
      <c r="G33" s="133">
        <f>SUM(H33:H33,N33:O33)</f>
        <v>0</v>
      </c>
      <c r="H33" s="134"/>
      <c r="I33" s="134"/>
      <c r="J33" s="135"/>
      <c r="K33" s="136">
        <f t="shared" si="21"/>
        <v>0</v>
      </c>
      <c r="L33" s="134"/>
      <c r="M33" s="134"/>
      <c r="N33" s="120">
        <f t="shared" si="17"/>
        <v>0</v>
      </c>
      <c r="O33" s="134"/>
      <c r="P33" s="129"/>
      <c r="Q33" s="129"/>
      <c r="S33" s="131"/>
      <c r="T33" s="131"/>
      <c r="U33" s="131"/>
      <c r="V33" s="131"/>
      <c r="W33" s="131"/>
      <c r="X33" s="131"/>
      <c r="Y33" s="131"/>
      <c r="Z33" s="131"/>
      <c r="AA33" s="131"/>
    </row>
    <row r="34" spans="1:27" s="130" customFormat="1" ht="18.75" outlineLevel="1" x14ac:dyDescent="0.25">
      <c r="A34" s="388"/>
      <c r="B34" s="378"/>
      <c r="C34" s="378"/>
      <c r="D34" s="378"/>
      <c r="E34" s="377"/>
      <c r="F34" s="132" t="s">
        <v>10</v>
      </c>
      <c r="G34" s="133">
        <f>SUM(H34:H34,N34:O34)</f>
        <v>2501</v>
      </c>
      <c r="H34" s="134">
        <v>2501</v>
      </c>
      <c r="I34" s="134"/>
      <c r="J34" s="135"/>
      <c r="K34" s="136">
        <f t="shared" si="21"/>
        <v>0</v>
      </c>
      <c r="L34" s="134"/>
      <c r="M34" s="134"/>
      <c r="N34" s="120">
        <f t="shared" si="17"/>
        <v>0</v>
      </c>
      <c r="O34" s="134"/>
      <c r="P34" s="129"/>
      <c r="Q34" s="129"/>
      <c r="S34" s="131"/>
      <c r="T34" s="131"/>
      <c r="U34" s="131"/>
      <c r="V34" s="131"/>
      <c r="W34" s="131"/>
      <c r="X34" s="131"/>
      <c r="Y34" s="131"/>
      <c r="Z34" s="131"/>
      <c r="AA34" s="131"/>
    </row>
    <row r="35" spans="1:27" s="130" customFormat="1" ht="18.75" outlineLevel="1" x14ac:dyDescent="0.25">
      <c r="A35" s="388"/>
      <c r="B35" s="378"/>
      <c r="C35" s="378"/>
      <c r="D35" s="378"/>
      <c r="E35" s="377"/>
      <c r="F35" s="132" t="s">
        <v>11</v>
      </c>
      <c r="G35" s="133">
        <f>SUM(H35:H35,N35:O35)</f>
        <v>0</v>
      </c>
      <c r="H35" s="134"/>
      <c r="I35" s="134"/>
      <c r="J35" s="135"/>
      <c r="K35" s="136">
        <f t="shared" si="21"/>
        <v>0</v>
      </c>
      <c r="L35" s="134"/>
      <c r="M35" s="134"/>
      <c r="N35" s="120">
        <f t="shared" si="17"/>
        <v>0</v>
      </c>
      <c r="O35" s="134"/>
      <c r="P35" s="129"/>
      <c r="Q35" s="129"/>
      <c r="S35" s="131"/>
      <c r="T35" s="131"/>
      <c r="U35" s="131"/>
      <c r="V35" s="131"/>
      <c r="W35" s="131"/>
      <c r="X35" s="131"/>
      <c r="Y35" s="131"/>
      <c r="Z35" s="131"/>
      <c r="AA35" s="131"/>
    </row>
    <row r="36" spans="1:27" outlineLevel="1" x14ac:dyDescent="0.25">
      <c r="A36" s="388" t="s">
        <v>87</v>
      </c>
      <c r="B36" s="378" t="s">
        <v>214</v>
      </c>
      <c r="C36" s="378" t="s">
        <v>215</v>
      </c>
      <c r="D36" s="378" t="s">
        <v>216</v>
      </c>
      <c r="E36" s="380">
        <v>2022</v>
      </c>
      <c r="F36" s="126" t="s">
        <v>7</v>
      </c>
      <c r="G36" s="120">
        <f>SUM(G37:G40)</f>
        <v>4960.95</v>
      </c>
      <c r="H36" s="120">
        <f>SUM(H37:H40)</f>
        <v>4960.95</v>
      </c>
      <c r="I36" s="120">
        <f>SUM(I37:I40)</f>
        <v>0</v>
      </c>
      <c r="J36" s="121"/>
      <c r="K36" s="121">
        <f>I36-J36</f>
        <v>0</v>
      </c>
      <c r="L36" s="120">
        <f>SUM(L37:L40)</f>
        <v>0</v>
      </c>
      <c r="M36" s="120">
        <f>SUM(M37:M40)</f>
        <v>0</v>
      </c>
      <c r="N36" s="120">
        <f t="shared" si="17"/>
        <v>0</v>
      </c>
      <c r="O36" s="120">
        <f>SUM(O37:O40)</f>
        <v>0</v>
      </c>
    </row>
    <row r="37" spans="1:27" outlineLevel="1" x14ac:dyDescent="0.25">
      <c r="A37" s="388"/>
      <c r="B37" s="378"/>
      <c r="C37" s="378"/>
      <c r="D37" s="378"/>
      <c r="E37" s="380"/>
      <c r="F37" s="132" t="s">
        <v>8</v>
      </c>
      <c r="G37" s="133">
        <f>SUM(H37:H37,N37:O37)</f>
        <v>0</v>
      </c>
      <c r="H37" s="137"/>
      <c r="I37" s="137"/>
      <c r="J37" s="138"/>
      <c r="K37" s="136">
        <f t="shared" si="21"/>
        <v>0</v>
      </c>
      <c r="L37" s="137"/>
      <c r="M37" s="137"/>
      <c r="N37" s="120">
        <f t="shared" si="17"/>
        <v>0</v>
      </c>
      <c r="O37" s="137"/>
    </row>
    <row r="38" spans="1:27" outlineLevel="1" x14ac:dyDescent="0.25">
      <c r="A38" s="388"/>
      <c r="B38" s="378"/>
      <c r="C38" s="378"/>
      <c r="D38" s="378"/>
      <c r="E38" s="380"/>
      <c r="F38" s="132" t="s">
        <v>9</v>
      </c>
      <c r="G38" s="133">
        <f>SUM(H38:H38,N38:O38)</f>
        <v>0</v>
      </c>
      <c r="H38" s="137"/>
      <c r="I38" s="137"/>
      <c r="J38" s="138"/>
      <c r="K38" s="136">
        <f t="shared" si="21"/>
        <v>0</v>
      </c>
      <c r="L38" s="137"/>
      <c r="M38" s="137"/>
      <c r="N38" s="120">
        <f t="shared" si="17"/>
        <v>0</v>
      </c>
      <c r="O38" s="137"/>
    </row>
    <row r="39" spans="1:27" outlineLevel="1" x14ac:dyDescent="0.25">
      <c r="A39" s="388"/>
      <c r="B39" s="378"/>
      <c r="C39" s="378"/>
      <c r="D39" s="378"/>
      <c r="E39" s="380"/>
      <c r="F39" s="132" t="s">
        <v>10</v>
      </c>
      <c r="G39" s="133">
        <f>SUM(H39:H39,N39:O39)</f>
        <v>4960.95</v>
      </c>
      <c r="H39" s="137">
        <v>4960.95</v>
      </c>
      <c r="I39" s="137"/>
      <c r="J39" s="138"/>
      <c r="K39" s="136">
        <f t="shared" si="21"/>
        <v>0</v>
      </c>
      <c r="L39" s="137"/>
      <c r="M39" s="137"/>
      <c r="N39" s="120">
        <f t="shared" si="17"/>
        <v>0</v>
      </c>
      <c r="O39" s="137"/>
    </row>
    <row r="40" spans="1:27" outlineLevel="1" x14ac:dyDescent="0.25">
      <c r="A40" s="388"/>
      <c r="B40" s="378"/>
      <c r="C40" s="378"/>
      <c r="D40" s="378"/>
      <c r="E40" s="380"/>
      <c r="F40" s="132" t="s">
        <v>11</v>
      </c>
      <c r="G40" s="133">
        <f>SUM(H40:H40,N40:O40)</f>
        <v>0</v>
      </c>
      <c r="H40" s="137"/>
      <c r="I40" s="137"/>
      <c r="J40" s="138"/>
      <c r="K40" s="136">
        <f t="shared" si="21"/>
        <v>0</v>
      </c>
      <c r="L40" s="137"/>
      <c r="M40" s="137"/>
      <c r="N40" s="120">
        <f t="shared" si="17"/>
        <v>0</v>
      </c>
      <c r="O40" s="137"/>
    </row>
    <row r="41" spans="1:27" outlineLevel="1" x14ac:dyDescent="0.25">
      <c r="A41" s="388" t="s">
        <v>88</v>
      </c>
      <c r="B41" s="378" t="s">
        <v>217</v>
      </c>
      <c r="C41" s="378" t="s">
        <v>218</v>
      </c>
      <c r="D41" s="378" t="s">
        <v>216</v>
      </c>
      <c r="E41" s="380">
        <v>2022</v>
      </c>
      <c r="F41" s="126" t="s">
        <v>7</v>
      </c>
      <c r="G41" s="120">
        <f>SUM(G42:G45)</f>
        <v>2155.1484</v>
      </c>
      <c r="H41" s="120">
        <f>SUM(H42:H45)</f>
        <v>2155.1484</v>
      </c>
      <c r="I41" s="120">
        <f>SUM(I42:I45)</f>
        <v>0</v>
      </c>
      <c r="J41" s="121"/>
      <c r="K41" s="121">
        <f>I41-J41</f>
        <v>0</v>
      </c>
      <c r="L41" s="120">
        <f>SUM(L42:L45)</f>
        <v>0</v>
      </c>
      <c r="M41" s="120">
        <f>SUM(M42:M45)</f>
        <v>0</v>
      </c>
      <c r="N41" s="120">
        <f t="shared" si="17"/>
        <v>0</v>
      </c>
      <c r="O41" s="120">
        <f>SUM(O42:O45)</f>
        <v>0</v>
      </c>
    </row>
    <row r="42" spans="1:27" outlineLevel="1" x14ac:dyDescent="0.25">
      <c r="A42" s="388"/>
      <c r="B42" s="378"/>
      <c r="C42" s="378"/>
      <c r="D42" s="378"/>
      <c r="E42" s="380"/>
      <c r="F42" s="132" t="s">
        <v>8</v>
      </c>
      <c r="G42" s="133">
        <f>SUM(H42:H42,N42:O42)</f>
        <v>0</v>
      </c>
      <c r="H42" s="137"/>
      <c r="I42" s="137"/>
      <c r="J42" s="138"/>
      <c r="K42" s="136">
        <f t="shared" si="21"/>
        <v>0</v>
      </c>
      <c r="L42" s="137"/>
      <c r="M42" s="137"/>
      <c r="N42" s="120">
        <f t="shared" si="17"/>
        <v>0</v>
      </c>
      <c r="O42" s="137"/>
    </row>
    <row r="43" spans="1:27" outlineLevel="1" x14ac:dyDescent="0.25">
      <c r="A43" s="388"/>
      <c r="B43" s="378"/>
      <c r="C43" s="378"/>
      <c r="D43" s="378"/>
      <c r="E43" s="380"/>
      <c r="F43" s="132" t="s">
        <v>9</v>
      </c>
      <c r="G43" s="133">
        <f>SUM(H43:H43,N43:O43)</f>
        <v>0</v>
      </c>
      <c r="H43" s="137"/>
      <c r="I43" s="137"/>
      <c r="J43" s="138"/>
      <c r="K43" s="136">
        <f t="shared" si="21"/>
        <v>0</v>
      </c>
      <c r="L43" s="137"/>
      <c r="M43" s="137"/>
      <c r="N43" s="120">
        <f t="shared" si="17"/>
        <v>0</v>
      </c>
      <c r="O43" s="137"/>
    </row>
    <row r="44" spans="1:27" outlineLevel="1" x14ac:dyDescent="0.25">
      <c r="A44" s="388"/>
      <c r="B44" s="378"/>
      <c r="C44" s="378"/>
      <c r="D44" s="378"/>
      <c r="E44" s="380"/>
      <c r="F44" s="132" t="s">
        <v>10</v>
      </c>
      <c r="G44" s="133">
        <f>SUM(H44:H44,N44:O44)</f>
        <v>2155.1484</v>
      </c>
      <c r="H44" s="137">
        <v>2155.1484</v>
      </c>
      <c r="I44" s="137"/>
      <c r="J44" s="138"/>
      <c r="K44" s="136">
        <f t="shared" si="21"/>
        <v>0</v>
      </c>
      <c r="L44" s="137"/>
      <c r="M44" s="137"/>
      <c r="N44" s="120">
        <f t="shared" si="17"/>
        <v>0</v>
      </c>
      <c r="O44" s="137"/>
    </row>
    <row r="45" spans="1:27" outlineLevel="1" x14ac:dyDescent="0.25">
      <c r="A45" s="388"/>
      <c r="B45" s="378"/>
      <c r="C45" s="378"/>
      <c r="D45" s="378"/>
      <c r="E45" s="380"/>
      <c r="F45" s="132" t="s">
        <v>11</v>
      </c>
      <c r="G45" s="133">
        <f>SUM(H45:H45,N45:O45)</f>
        <v>0</v>
      </c>
      <c r="H45" s="137"/>
      <c r="I45" s="137"/>
      <c r="J45" s="138"/>
      <c r="K45" s="136">
        <f t="shared" si="21"/>
        <v>0</v>
      </c>
      <c r="L45" s="137"/>
      <c r="M45" s="137"/>
      <c r="N45" s="120">
        <f t="shared" si="17"/>
        <v>0</v>
      </c>
      <c r="O45" s="137"/>
    </row>
    <row r="46" spans="1:27" outlineLevel="1" x14ac:dyDescent="0.25">
      <c r="A46" s="388" t="s">
        <v>219</v>
      </c>
      <c r="B46" s="378" t="s">
        <v>220</v>
      </c>
      <c r="C46" s="378" t="s">
        <v>221</v>
      </c>
      <c r="D46" s="378" t="s">
        <v>216</v>
      </c>
      <c r="E46" s="380">
        <v>2022</v>
      </c>
      <c r="F46" s="126" t="s">
        <v>7</v>
      </c>
      <c r="G46" s="120">
        <f>SUM(G47:G50)</f>
        <v>928.72</v>
      </c>
      <c r="H46" s="120">
        <f>SUM(H47:H50)</f>
        <v>928.72</v>
      </c>
      <c r="I46" s="120">
        <f>SUM(I47:I50)</f>
        <v>0</v>
      </c>
      <c r="J46" s="121"/>
      <c r="K46" s="121">
        <f>I46-J46</f>
        <v>0</v>
      </c>
      <c r="L46" s="120">
        <f>SUM(L47:L50)</f>
        <v>0</v>
      </c>
      <c r="M46" s="120">
        <f>SUM(M47:M50)</f>
        <v>0</v>
      </c>
      <c r="N46" s="120">
        <f t="shared" si="17"/>
        <v>0</v>
      </c>
      <c r="O46" s="120">
        <f>SUM(O47:O50)</f>
        <v>0</v>
      </c>
    </row>
    <row r="47" spans="1:27" outlineLevel="1" x14ac:dyDescent="0.25">
      <c r="A47" s="388"/>
      <c r="B47" s="378"/>
      <c r="C47" s="378"/>
      <c r="D47" s="378"/>
      <c r="E47" s="380"/>
      <c r="F47" s="132" t="s">
        <v>8</v>
      </c>
      <c r="G47" s="133">
        <f>SUM(H47:H47,N47:O47)</f>
        <v>0</v>
      </c>
      <c r="H47" s="137"/>
      <c r="I47" s="137"/>
      <c r="J47" s="138"/>
      <c r="K47" s="136">
        <f t="shared" si="21"/>
        <v>0</v>
      </c>
      <c r="L47" s="137"/>
      <c r="M47" s="137"/>
      <c r="N47" s="120">
        <f t="shared" si="17"/>
        <v>0</v>
      </c>
      <c r="O47" s="137"/>
    </row>
    <row r="48" spans="1:27" outlineLevel="1" x14ac:dyDescent="0.25">
      <c r="A48" s="388"/>
      <c r="B48" s="378"/>
      <c r="C48" s="378"/>
      <c r="D48" s="378"/>
      <c r="E48" s="380"/>
      <c r="F48" s="132" t="s">
        <v>9</v>
      </c>
      <c r="G48" s="133">
        <f>SUM(H48:H48,N48:O48)</f>
        <v>0</v>
      </c>
      <c r="H48" s="137"/>
      <c r="I48" s="137"/>
      <c r="J48" s="138"/>
      <c r="K48" s="136">
        <f t="shared" si="21"/>
        <v>0</v>
      </c>
      <c r="L48" s="137"/>
      <c r="M48" s="137"/>
      <c r="N48" s="120">
        <f t="shared" si="17"/>
        <v>0</v>
      </c>
      <c r="O48" s="137"/>
    </row>
    <row r="49" spans="1:27" outlineLevel="1" x14ac:dyDescent="0.25">
      <c r="A49" s="388"/>
      <c r="B49" s="378"/>
      <c r="C49" s="378"/>
      <c r="D49" s="378"/>
      <c r="E49" s="380"/>
      <c r="F49" s="132" t="s">
        <v>10</v>
      </c>
      <c r="G49" s="133">
        <f>SUM(H49:H49,N49:O49)</f>
        <v>928.72</v>
      </c>
      <c r="H49" s="137">
        <v>928.72</v>
      </c>
      <c r="I49" s="137"/>
      <c r="J49" s="138"/>
      <c r="K49" s="136">
        <f t="shared" si="21"/>
        <v>0</v>
      </c>
      <c r="L49" s="137"/>
      <c r="M49" s="137"/>
      <c r="N49" s="120">
        <f t="shared" si="17"/>
        <v>0</v>
      </c>
      <c r="O49" s="137"/>
    </row>
    <row r="50" spans="1:27" outlineLevel="1" x14ac:dyDescent="0.25">
      <c r="A50" s="388"/>
      <c r="B50" s="378"/>
      <c r="C50" s="378"/>
      <c r="D50" s="378"/>
      <c r="E50" s="380"/>
      <c r="F50" s="132" t="s">
        <v>11</v>
      </c>
      <c r="G50" s="133">
        <f>SUM(H50:H50,N50:O50)</f>
        <v>0</v>
      </c>
      <c r="H50" s="137"/>
      <c r="I50" s="137"/>
      <c r="J50" s="138"/>
      <c r="K50" s="136">
        <f t="shared" si="21"/>
        <v>0</v>
      </c>
      <c r="L50" s="137"/>
      <c r="M50" s="137"/>
      <c r="N50" s="120">
        <f t="shared" si="17"/>
        <v>0</v>
      </c>
      <c r="O50" s="137"/>
    </row>
    <row r="51" spans="1:27" s="130" customFormat="1" ht="18.75" outlineLevel="1" x14ac:dyDescent="0.25">
      <c r="A51" s="388" t="s">
        <v>222</v>
      </c>
      <c r="B51" s="378" t="s">
        <v>223</v>
      </c>
      <c r="C51" s="378" t="s">
        <v>65</v>
      </c>
      <c r="D51" s="378" t="s">
        <v>14</v>
      </c>
      <c r="E51" s="380" t="s">
        <v>30</v>
      </c>
      <c r="F51" s="126" t="s">
        <v>7</v>
      </c>
      <c r="G51" s="120">
        <f t="shared" ref="G51:M51" si="22">SUM(G52:G55)</f>
        <v>20612.09</v>
      </c>
      <c r="H51" s="120">
        <f t="shared" si="22"/>
        <v>8135.4999999999991</v>
      </c>
      <c r="I51" s="120">
        <f t="shared" si="22"/>
        <v>12476.59</v>
      </c>
      <c r="J51" s="121">
        <f t="shared" si="22"/>
        <v>12476.59</v>
      </c>
      <c r="K51" s="121">
        <f>I51-J51</f>
        <v>0</v>
      </c>
      <c r="L51" s="120">
        <f t="shared" si="22"/>
        <v>0</v>
      </c>
      <c r="M51" s="120">
        <f t="shared" si="22"/>
        <v>0</v>
      </c>
      <c r="N51" s="120">
        <f t="shared" si="17"/>
        <v>12476.59</v>
      </c>
      <c r="O51" s="120">
        <f>SUM(O52:O55)</f>
        <v>0</v>
      </c>
      <c r="P51" s="129"/>
      <c r="Q51" s="129"/>
      <c r="S51" s="131"/>
      <c r="T51" s="131"/>
      <c r="U51" s="131"/>
      <c r="V51" s="131"/>
      <c r="W51" s="131"/>
      <c r="X51" s="131"/>
      <c r="Y51" s="131"/>
      <c r="Z51" s="131"/>
      <c r="AA51" s="131"/>
    </row>
    <row r="52" spans="1:27" s="130" customFormat="1" ht="18.75" outlineLevel="1" x14ac:dyDescent="0.25">
      <c r="A52" s="388"/>
      <c r="B52" s="378"/>
      <c r="C52" s="378"/>
      <c r="D52" s="378"/>
      <c r="E52" s="380"/>
      <c r="F52" s="132" t="s">
        <v>8</v>
      </c>
      <c r="G52" s="133">
        <f>SUM(H52:H52,N52:O52)</f>
        <v>0</v>
      </c>
      <c r="H52" s="133"/>
      <c r="I52" s="133"/>
      <c r="J52" s="136"/>
      <c r="K52" s="136">
        <f t="shared" si="21"/>
        <v>0</v>
      </c>
      <c r="L52" s="133"/>
      <c r="M52" s="133"/>
      <c r="N52" s="120">
        <f t="shared" si="17"/>
        <v>0</v>
      </c>
      <c r="O52" s="133"/>
      <c r="P52" s="129"/>
      <c r="Q52" s="129"/>
      <c r="S52" s="131"/>
      <c r="T52" s="131"/>
      <c r="U52" s="131"/>
      <c r="V52" s="131"/>
      <c r="W52" s="131"/>
      <c r="X52" s="131"/>
      <c r="Y52" s="131"/>
      <c r="Z52" s="131"/>
      <c r="AA52" s="131"/>
    </row>
    <row r="53" spans="1:27" s="130" customFormat="1" ht="18.75" outlineLevel="1" x14ac:dyDescent="0.25">
      <c r="A53" s="388"/>
      <c r="B53" s="378"/>
      <c r="C53" s="378"/>
      <c r="D53" s="378"/>
      <c r="E53" s="380"/>
      <c r="F53" s="132" t="s">
        <v>9</v>
      </c>
      <c r="G53" s="133">
        <f>SUM(H53:H53,N53:O53)</f>
        <v>0</v>
      </c>
      <c r="H53" s="133"/>
      <c r="I53" s="133"/>
      <c r="J53" s="136"/>
      <c r="K53" s="136">
        <f t="shared" si="21"/>
        <v>0</v>
      </c>
      <c r="L53" s="133"/>
      <c r="M53" s="133"/>
      <c r="N53" s="120">
        <f t="shared" si="17"/>
        <v>0</v>
      </c>
      <c r="O53" s="133"/>
      <c r="P53" s="129"/>
      <c r="Q53" s="129"/>
      <c r="S53" s="131"/>
      <c r="T53" s="131"/>
      <c r="U53" s="131"/>
      <c r="V53" s="131"/>
      <c r="W53" s="131"/>
      <c r="X53" s="131"/>
      <c r="Y53" s="131"/>
      <c r="Z53" s="131"/>
      <c r="AA53" s="131"/>
    </row>
    <row r="54" spans="1:27" s="130" customFormat="1" ht="18.75" outlineLevel="1" x14ac:dyDescent="0.25">
      <c r="A54" s="388"/>
      <c r="B54" s="378"/>
      <c r="C54" s="378"/>
      <c r="D54" s="378"/>
      <c r="E54" s="380"/>
      <c r="F54" s="132" t="s">
        <v>10</v>
      </c>
      <c r="G54" s="133">
        <f>SUM(H54:H54,N54:O54)</f>
        <v>20612.09</v>
      </c>
      <c r="H54" s="133">
        <f>13512.09-716.84-4165.79-493.96</f>
        <v>8135.4999999999991</v>
      </c>
      <c r="I54" s="133">
        <f>7100+716.84+4165.79+493.96</f>
        <v>12476.59</v>
      </c>
      <c r="J54" s="136">
        <f>7100+716.84+4165.79+493.96</f>
        <v>12476.59</v>
      </c>
      <c r="K54" s="136">
        <f t="shared" si="21"/>
        <v>0</v>
      </c>
      <c r="L54" s="133"/>
      <c r="M54" s="133"/>
      <c r="N54" s="120">
        <f t="shared" si="17"/>
        <v>12476.59</v>
      </c>
      <c r="O54" s="133"/>
      <c r="P54" s="129"/>
      <c r="Q54" s="129"/>
      <c r="S54" s="131"/>
      <c r="T54" s="131"/>
      <c r="U54" s="131"/>
      <c r="V54" s="131"/>
      <c r="W54" s="131"/>
      <c r="X54" s="131"/>
      <c r="Y54" s="131"/>
      <c r="Z54" s="131"/>
      <c r="AA54" s="131"/>
    </row>
    <row r="55" spans="1:27" s="130" customFormat="1" ht="18.75" outlineLevel="1" x14ac:dyDescent="0.25">
      <c r="A55" s="388"/>
      <c r="B55" s="378"/>
      <c r="C55" s="378"/>
      <c r="D55" s="378"/>
      <c r="E55" s="380"/>
      <c r="F55" s="132" t="s">
        <v>11</v>
      </c>
      <c r="G55" s="133">
        <f>SUM(H55:H55,N55:O55)</f>
        <v>0</v>
      </c>
      <c r="H55" s="133"/>
      <c r="I55" s="133"/>
      <c r="J55" s="136"/>
      <c r="K55" s="136">
        <f t="shared" si="21"/>
        <v>0</v>
      </c>
      <c r="L55" s="133"/>
      <c r="M55" s="133"/>
      <c r="N55" s="120">
        <f t="shared" si="17"/>
        <v>0</v>
      </c>
      <c r="O55" s="133"/>
      <c r="P55" s="129"/>
      <c r="Q55" s="129"/>
      <c r="S55" s="131"/>
      <c r="T55" s="131"/>
      <c r="U55" s="131"/>
      <c r="V55" s="131"/>
      <c r="W55" s="131"/>
      <c r="X55" s="131"/>
      <c r="Y55" s="131"/>
      <c r="Z55" s="131"/>
      <c r="AA55" s="131"/>
    </row>
    <row r="56" spans="1:27" s="130" customFormat="1" ht="18.75" outlineLevel="1" x14ac:dyDescent="0.25">
      <c r="A56" s="388" t="s">
        <v>89</v>
      </c>
      <c r="B56" s="378" t="s">
        <v>15</v>
      </c>
      <c r="C56" s="378" t="s">
        <v>65</v>
      </c>
      <c r="D56" s="378" t="s">
        <v>14</v>
      </c>
      <c r="E56" s="380" t="s">
        <v>16</v>
      </c>
      <c r="F56" s="126" t="s">
        <v>7</v>
      </c>
      <c r="G56" s="120">
        <f>SUM(G57:G60)</f>
        <v>200000</v>
      </c>
      <c r="H56" s="120">
        <f>SUM(H57:H60)</f>
        <v>0</v>
      </c>
      <c r="I56" s="120">
        <f>SUM(I57:I60)</f>
        <v>0</v>
      </c>
      <c r="J56" s="121"/>
      <c r="K56" s="121">
        <f>I56-J56</f>
        <v>0</v>
      </c>
      <c r="L56" s="120">
        <f>SUM(L57:L60)</f>
        <v>100000</v>
      </c>
      <c r="M56" s="120">
        <f>SUM(M57:M60)</f>
        <v>100000</v>
      </c>
      <c r="N56" s="120">
        <f t="shared" si="17"/>
        <v>200000</v>
      </c>
      <c r="O56" s="120">
        <f>SUM(O57:O60)</f>
        <v>0</v>
      </c>
      <c r="P56" s="129"/>
      <c r="Q56" s="129"/>
      <c r="S56" s="131"/>
      <c r="T56" s="131"/>
      <c r="U56" s="131"/>
      <c r="V56" s="131"/>
      <c r="W56" s="131"/>
      <c r="X56" s="131"/>
      <c r="Y56" s="131"/>
      <c r="Z56" s="131"/>
      <c r="AA56" s="131"/>
    </row>
    <row r="57" spans="1:27" s="130" customFormat="1" ht="18.75" outlineLevel="1" x14ac:dyDescent="0.25">
      <c r="A57" s="388"/>
      <c r="B57" s="378"/>
      <c r="C57" s="378"/>
      <c r="D57" s="378"/>
      <c r="E57" s="380"/>
      <c r="F57" s="132" t="s">
        <v>8</v>
      </c>
      <c r="G57" s="133">
        <f>SUM(H57:H57,N57:O57)</f>
        <v>0</v>
      </c>
      <c r="H57" s="133"/>
      <c r="I57" s="133"/>
      <c r="J57" s="136"/>
      <c r="K57" s="136">
        <f t="shared" si="21"/>
        <v>0</v>
      </c>
      <c r="L57" s="133"/>
      <c r="M57" s="133"/>
      <c r="N57" s="120">
        <f t="shared" si="17"/>
        <v>0</v>
      </c>
      <c r="O57" s="133"/>
      <c r="P57" s="129"/>
      <c r="Q57" s="129"/>
      <c r="S57" s="131"/>
      <c r="T57" s="131"/>
      <c r="U57" s="131"/>
      <c r="V57" s="131"/>
      <c r="W57" s="131"/>
      <c r="X57" s="131"/>
      <c r="Y57" s="131"/>
      <c r="Z57" s="131"/>
      <c r="AA57" s="131"/>
    </row>
    <row r="58" spans="1:27" s="130" customFormat="1" ht="18.75" outlineLevel="1" x14ac:dyDescent="0.25">
      <c r="A58" s="388"/>
      <c r="B58" s="378"/>
      <c r="C58" s="378"/>
      <c r="D58" s="378"/>
      <c r="E58" s="380"/>
      <c r="F58" s="132" t="s">
        <v>9</v>
      </c>
      <c r="G58" s="133">
        <f>SUM(H58:H58,N58:O58)</f>
        <v>200000</v>
      </c>
      <c r="H58" s="133"/>
      <c r="I58" s="133"/>
      <c r="J58" s="136"/>
      <c r="K58" s="136">
        <f t="shared" si="21"/>
        <v>0</v>
      </c>
      <c r="L58" s="133">
        <v>100000</v>
      </c>
      <c r="M58" s="133">
        <v>100000</v>
      </c>
      <c r="N58" s="120">
        <f t="shared" si="17"/>
        <v>200000</v>
      </c>
      <c r="O58" s="133"/>
      <c r="P58" s="129"/>
      <c r="Q58" s="129"/>
      <c r="S58" s="131"/>
      <c r="T58" s="131"/>
      <c r="U58" s="131"/>
      <c r="V58" s="131"/>
      <c r="W58" s="131"/>
      <c r="X58" s="131"/>
      <c r="Y58" s="131"/>
      <c r="Z58" s="131"/>
      <c r="AA58" s="131"/>
    </row>
    <row r="59" spans="1:27" s="130" customFormat="1" ht="18.75" outlineLevel="1" x14ac:dyDescent="0.25">
      <c r="A59" s="388"/>
      <c r="B59" s="378"/>
      <c r="C59" s="378"/>
      <c r="D59" s="378"/>
      <c r="E59" s="380"/>
      <c r="F59" s="132" t="s">
        <v>10</v>
      </c>
      <c r="G59" s="133">
        <f>SUM(H59:H59,N59:O59)</f>
        <v>0</v>
      </c>
      <c r="H59" s="133"/>
      <c r="I59" s="133"/>
      <c r="J59" s="136"/>
      <c r="K59" s="136">
        <f t="shared" si="21"/>
        <v>0</v>
      </c>
      <c r="L59" s="133"/>
      <c r="M59" s="133"/>
      <c r="N59" s="120">
        <f t="shared" si="17"/>
        <v>0</v>
      </c>
      <c r="O59" s="133"/>
      <c r="P59" s="129"/>
      <c r="Q59" s="129"/>
      <c r="S59" s="131"/>
      <c r="T59" s="131"/>
      <c r="U59" s="131"/>
      <c r="V59" s="131"/>
      <c r="W59" s="131"/>
      <c r="X59" s="131"/>
      <c r="Y59" s="131"/>
      <c r="Z59" s="131"/>
      <c r="AA59" s="131"/>
    </row>
    <row r="60" spans="1:27" s="130" customFormat="1" ht="18.75" outlineLevel="1" x14ac:dyDescent="0.25">
      <c r="A60" s="388"/>
      <c r="B60" s="378"/>
      <c r="C60" s="378"/>
      <c r="D60" s="378"/>
      <c r="E60" s="380"/>
      <c r="F60" s="132" t="s">
        <v>11</v>
      </c>
      <c r="G60" s="133">
        <f>SUM(H60:H60,N60:O60)</f>
        <v>0</v>
      </c>
      <c r="H60" s="133"/>
      <c r="I60" s="133"/>
      <c r="J60" s="136"/>
      <c r="K60" s="136">
        <f t="shared" si="21"/>
        <v>0</v>
      </c>
      <c r="L60" s="133"/>
      <c r="M60" s="133"/>
      <c r="N60" s="120">
        <f t="shared" si="17"/>
        <v>0</v>
      </c>
      <c r="O60" s="133"/>
      <c r="P60" s="129"/>
      <c r="Q60" s="129"/>
      <c r="S60" s="131"/>
      <c r="T60" s="131"/>
      <c r="U60" s="131"/>
      <c r="V60" s="131"/>
      <c r="W60" s="131"/>
      <c r="X60" s="131"/>
      <c r="Y60" s="131"/>
      <c r="Z60" s="131"/>
      <c r="AA60" s="131"/>
    </row>
    <row r="61" spans="1:27" s="140" customFormat="1" ht="15.75" outlineLevel="1" x14ac:dyDescent="0.25">
      <c r="A61" s="388" t="s">
        <v>90</v>
      </c>
      <c r="B61" s="378" t="s">
        <v>174</v>
      </c>
      <c r="C61" s="378" t="s">
        <v>79</v>
      </c>
      <c r="D61" s="378" t="s">
        <v>17</v>
      </c>
      <c r="E61" s="380" t="s">
        <v>63</v>
      </c>
      <c r="F61" s="126" t="s">
        <v>7</v>
      </c>
      <c r="G61" s="120">
        <f>SUM(G62:G65)</f>
        <v>56000</v>
      </c>
      <c r="H61" s="120">
        <f>SUM(H62:H65)</f>
        <v>0</v>
      </c>
      <c r="I61" s="120">
        <f>SUM(I62:I65)</f>
        <v>8164.47</v>
      </c>
      <c r="J61" s="121">
        <v>8164.47</v>
      </c>
      <c r="K61" s="121">
        <f>I61-J61</f>
        <v>0</v>
      </c>
      <c r="L61" s="120">
        <f>SUM(L62:L65)</f>
        <v>24900</v>
      </c>
      <c r="M61" s="120">
        <f>SUM(M62:M65)</f>
        <v>22935.53</v>
      </c>
      <c r="N61" s="120">
        <f t="shared" si="17"/>
        <v>56000</v>
      </c>
      <c r="O61" s="120">
        <v>0</v>
      </c>
      <c r="P61" s="139"/>
      <c r="Q61" s="139"/>
      <c r="S61" s="141"/>
      <c r="T61" s="141"/>
      <c r="U61" s="141"/>
      <c r="V61" s="141"/>
      <c r="W61" s="141"/>
      <c r="X61" s="141"/>
      <c r="Y61" s="141"/>
      <c r="Z61" s="141"/>
      <c r="AA61" s="141"/>
    </row>
    <row r="62" spans="1:27" s="140" customFormat="1" ht="15.75" outlineLevel="1" x14ac:dyDescent="0.25">
      <c r="A62" s="388"/>
      <c r="B62" s="378"/>
      <c r="C62" s="378"/>
      <c r="D62" s="378"/>
      <c r="E62" s="380"/>
      <c r="F62" s="132" t="s">
        <v>8</v>
      </c>
      <c r="G62" s="133">
        <f>SUM(H62:H62,N62:O62)</f>
        <v>0</v>
      </c>
      <c r="H62" s="137"/>
      <c r="I62" s="137"/>
      <c r="J62" s="138"/>
      <c r="K62" s="136">
        <f t="shared" si="21"/>
        <v>0</v>
      </c>
      <c r="L62" s="137"/>
      <c r="M62" s="137"/>
      <c r="N62" s="120">
        <f t="shared" si="17"/>
        <v>0</v>
      </c>
      <c r="O62" s="137"/>
      <c r="P62" s="139"/>
      <c r="Q62" s="139"/>
      <c r="S62" s="141"/>
      <c r="T62" s="141"/>
      <c r="U62" s="141"/>
      <c r="V62" s="141"/>
      <c r="W62" s="141"/>
      <c r="X62" s="141"/>
      <c r="Y62" s="141"/>
      <c r="Z62" s="141"/>
      <c r="AA62" s="141"/>
    </row>
    <row r="63" spans="1:27" s="140" customFormat="1" ht="15.75" outlineLevel="1" x14ac:dyDescent="0.25">
      <c r="A63" s="388"/>
      <c r="B63" s="378"/>
      <c r="C63" s="378"/>
      <c r="D63" s="378"/>
      <c r="E63" s="380"/>
      <c r="F63" s="132" t="s">
        <v>9</v>
      </c>
      <c r="G63" s="133">
        <f>SUM(H63:H63,N63:O63)</f>
        <v>47835.53</v>
      </c>
      <c r="H63" s="137"/>
      <c r="I63" s="137"/>
      <c r="J63" s="138"/>
      <c r="K63" s="136">
        <f t="shared" si="21"/>
        <v>0</v>
      </c>
      <c r="L63" s="32">
        <v>24900</v>
      </c>
      <c r="M63" s="32">
        <v>22935.53</v>
      </c>
      <c r="N63" s="120">
        <f t="shared" si="17"/>
        <v>47835.53</v>
      </c>
      <c r="O63" s="137"/>
      <c r="P63" s="139"/>
      <c r="Q63" s="139"/>
      <c r="S63" s="141"/>
      <c r="T63" s="141"/>
      <c r="U63" s="141"/>
      <c r="V63" s="141"/>
      <c r="W63" s="141"/>
      <c r="X63" s="141"/>
      <c r="Y63" s="141"/>
      <c r="Z63" s="141"/>
      <c r="AA63" s="141"/>
    </row>
    <row r="64" spans="1:27" s="140" customFormat="1" ht="15.75" outlineLevel="1" x14ac:dyDescent="0.25">
      <c r="A64" s="388"/>
      <c r="B64" s="378"/>
      <c r="C64" s="378"/>
      <c r="D64" s="378"/>
      <c r="E64" s="380"/>
      <c r="F64" s="132" t="s">
        <v>10</v>
      </c>
      <c r="G64" s="133">
        <f>SUM(H64:H64,N64:O64)</f>
        <v>8164.47</v>
      </c>
      <c r="H64" s="137"/>
      <c r="I64" s="137">
        <v>8164.47</v>
      </c>
      <c r="J64" s="138">
        <v>8164.47</v>
      </c>
      <c r="K64" s="136">
        <f t="shared" si="21"/>
        <v>0</v>
      </c>
      <c r="L64" s="137"/>
      <c r="M64" s="137"/>
      <c r="N64" s="120">
        <f t="shared" si="17"/>
        <v>8164.47</v>
      </c>
      <c r="O64" s="137"/>
      <c r="P64" s="139"/>
      <c r="Q64" s="139"/>
      <c r="S64" s="141"/>
      <c r="T64" s="141"/>
      <c r="U64" s="141"/>
      <c r="V64" s="141"/>
      <c r="W64" s="141"/>
      <c r="X64" s="141"/>
      <c r="Y64" s="141"/>
      <c r="Z64" s="141"/>
      <c r="AA64" s="141"/>
    </row>
    <row r="65" spans="1:27" s="140" customFormat="1" ht="15.75" outlineLevel="1" x14ac:dyDescent="0.25">
      <c r="A65" s="388"/>
      <c r="B65" s="378"/>
      <c r="C65" s="378"/>
      <c r="D65" s="378"/>
      <c r="E65" s="380"/>
      <c r="F65" s="132" t="s">
        <v>11</v>
      </c>
      <c r="G65" s="133">
        <f>SUM(H65:H65,N65:O65)</f>
        <v>0</v>
      </c>
      <c r="H65" s="137"/>
      <c r="I65" s="137"/>
      <c r="J65" s="138"/>
      <c r="K65" s="136">
        <f t="shared" si="21"/>
        <v>0</v>
      </c>
      <c r="L65" s="137"/>
      <c r="M65" s="137"/>
      <c r="N65" s="120">
        <f t="shared" si="17"/>
        <v>0</v>
      </c>
      <c r="O65" s="137"/>
      <c r="P65" s="139"/>
      <c r="Q65" s="139"/>
      <c r="S65" s="141"/>
      <c r="T65" s="141"/>
      <c r="U65" s="141"/>
      <c r="V65" s="141"/>
      <c r="W65" s="141"/>
      <c r="X65" s="141"/>
      <c r="Y65" s="141"/>
      <c r="Z65" s="141"/>
      <c r="AA65" s="141"/>
    </row>
    <row r="66" spans="1:27" outlineLevel="1" x14ac:dyDescent="0.25">
      <c r="A66" s="388" t="s">
        <v>91</v>
      </c>
      <c r="B66" s="378" t="s">
        <v>173</v>
      </c>
      <c r="C66" s="378"/>
      <c r="D66" s="378" t="s">
        <v>18</v>
      </c>
      <c r="E66" s="377" t="s">
        <v>39</v>
      </c>
      <c r="F66" s="126" t="s">
        <v>7</v>
      </c>
      <c r="G66" s="127">
        <f t="shared" ref="G66:M66" si="23">SUM(G67:G70)</f>
        <v>10048</v>
      </c>
      <c r="H66" s="127">
        <f t="shared" si="23"/>
        <v>598</v>
      </c>
      <c r="I66" s="127">
        <f t="shared" si="23"/>
        <v>5950</v>
      </c>
      <c r="J66" s="128">
        <f t="shared" si="23"/>
        <v>5950</v>
      </c>
      <c r="K66" s="121">
        <f>I66-J66</f>
        <v>0</v>
      </c>
      <c r="L66" s="127">
        <f t="shared" si="23"/>
        <v>3500</v>
      </c>
      <c r="M66" s="127">
        <f t="shared" si="23"/>
        <v>0</v>
      </c>
      <c r="N66" s="120">
        <f t="shared" si="17"/>
        <v>9450</v>
      </c>
      <c r="O66" s="127">
        <f>SUM(O67:O70)</f>
        <v>0</v>
      </c>
    </row>
    <row r="67" spans="1:27" outlineLevel="1" x14ac:dyDescent="0.25">
      <c r="A67" s="388"/>
      <c r="B67" s="378"/>
      <c r="C67" s="378"/>
      <c r="D67" s="378"/>
      <c r="E67" s="377"/>
      <c r="F67" s="132" t="s">
        <v>8</v>
      </c>
      <c r="G67" s="133">
        <f>SUM(H67:H67,N67:O67)</f>
        <v>0</v>
      </c>
      <c r="H67" s="134"/>
      <c r="I67" s="134"/>
      <c r="J67" s="135"/>
      <c r="K67" s="136">
        <f t="shared" si="21"/>
        <v>0</v>
      </c>
      <c r="L67" s="134"/>
      <c r="M67" s="134"/>
      <c r="N67" s="120">
        <f t="shared" si="17"/>
        <v>0</v>
      </c>
      <c r="O67" s="134"/>
    </row>
    <row r="68" spans="1:27" outlineLevel="1" x14ac:dyDescent="0.25">
      <c r="A68" s="388"/>
      <c r="B68" s="378"/>
      <c r="C68" s="378"/>
      <c r="D68" s="378"/>
      <c r="E68" s="377"/>
      <c r="F68" s="132" t="s">
        <v>9</v>
      </c>
      <c r="G68" s="133">
        <f>SUM(H68:H68,N68:O68)</f>
        <v>0</v>
      </c>
      <c r="H68" s="134"/>
      <c r="I68" s="134"/>
      <c r="J68" s="135"/>
      <c r="K68" s="136">
        <f t="shared" si="21"/>
        <v>0</v>
      </c>
      <c r="L68" s="134"/>
      <c r="M68" s="134"/>
      <c r="N68" s="120">
        <f t="shared" si="17"/>
        <v>0</v>
      </c>
      <c r="O68" s="134"/>
    </row>
    <row r="69" spans="1:27" outlineLevel="1" x14ac:dyDescent="0.25">
      <c r="A69" s="388"/>
      <c r="B69" s="378"/>
      <c r="C69" s="378"/>
      <c r="D69" s="378"/>
      <c r="E69" s="377"/>
      <c r="F69" s="132" t="s">
        <v>10</v>
      </c>
      <c r="G69" s="133">
        <f>SUM(H69:H69,N69:O69)</f>
        <v>10048</v>
      </c>
      <c r="H69" s="134">
        <f>748-150</f>
        <v>598</v>
      </c>
      <c r="I69" s="134">
        <f>5800+150</f>
        <v>5950</v>
      </c>
      <c r="J69" s="135">
        <f>5800+150</f>
        <v>5950</v>
      </c>
      <c r="K69" s="136">
        <f t="shared" si="21"/>
        <v>0</v>
      </c>
      <c r="L69" s="134">
        <v>3500</v>
      </c>
      <c r="M69" s="134"/>
      <c r="N69" s="120">
        <f t="shared" si="17"/>
        <v>9450</v>
      </c>
      <c r="O69" s="134"/>
    </row>
    <row r="70" spans="1:27" outlineLevel="1" x14ac:dyDescent="0.25">
      <c r="A70" s="388"/>
      <c r="B70" s="378"/>
      <c r="C70" s="378"/>
      <c r="D70" s="378"/>
      <c r="E70" s="377"/>
      <c r="F70" s="132" t="s">
        <v>11</v>
      </c>
      <c r="G70" s="133">
        <f>SUM(H70:H70,N70:O70)</f>
        <v>0</v>
      </c>
      <c r="H70" s="134"/>
      <c r="I70" s="134"/>
      <c r="J70" s="135"/>
      <c r="K70" s="136">
        <f t="shared" si="21"/>
        <v>0</v>
      </c>
      <c r="L70" s="134"/>
      <c r="M70" s="134"/>
      <c r="N70" s="120">
        <f t="shared" si="17"/>
        <v>0</v>
      </c>
      <c r="O70" s="134"/>
    </row>
    <row r="71" spans="1:27" outlineLevel="1" x14ac:dyDescent="0.25">
      <c r="A71" s="388" t="s">
        <v>92</v>
      </c>
      <c r="B71" s="378" t="s">
        <v>172</v>
      </c>
      <c r="C71" s="378"/>
      <c r="D71" s="378" t="s">
        <v>20</v>
      </c>
      <c r="E71" s="380">
        <v>2023</v>
      </c>
      <c r="F71" s="142" t="s">
        <v>7</v>
      </c>
      <c r="G71" s="143">
        <f t="shared" ref="G71:M71" si="24">SUM(G72:G75)</f>
        <v>1800</v>
      </c>
      <c r="H71" s="143">
        <f t="shared" si="24"/>
        <v>0</v>
      </c>
      <c r="I71" s="143">
        <f t="shared" si="24"/>
        <v>1800</v>
      </c>
      <c r="J71" s="144">
        <f t="shared" si="24"/>
        <v>1800</v>
      </c>
      <c r="K71" s="121">
        <f>I71-J71</f>
        <v>0</v>
      </c>
      <c r="L71" s="143">
        <f t="shared" si="24"/>
        <v>0</v>
      </c>
      <c r="M71" s="143">
        <f t="shared" si="24"/>
        <v>0</v>
      </c>
      <c r="N71" s="120">
        <f t="shared" si="17"/>
        <v>1800</v>
      </c>
      <c r="O71" s="143">
        <f>SUM(O72:O75)</f>
        <v>0</v>
      </c>
    </row>
    <row r="72" spans="1:27" outlineLevel="1" x14ac:dyDescent="0.25">
      <c r="A72" s="388"/>
      <c r="B72" s="378"/>
      <c r="C72" s="378"/>
      <c r="D72" s="378"/>
      <c r="E72" s="380"/>
      <c r="F72" s="132" t="s">
        <v>8</v>
      </c>
      <c r="G72" s="133">
        <f>SUM(H72:H72,N72:O72)</f>
        <v>0</v>
      </c>
      <c r="H72" s="137"/>
      <c r="I72" s="137"/>
      <c r="J72" s="138"/>
      <c r="K72" s="136">
        <f t="shared" si="21"/>
        <v>0</v>
      </c>
      <c r="L72" s="137"/>
      <c r="M72" s="137"/>
      <c r="N72" s="120">
        <f t="shared" si="17"/>
        <v>0</v>
      </c>
      <c r="O72" s="137"/>
    </row>
    <row r="73" spans="1:27" outlineLevel="1" x14ac:dyDescent="0.25">
      <c r="A73" s="388"/>
      <c r="B73" s="378"/>
      <c r="C73" s="378"/>
      <c r="D73" s="378"/>
      <c r="E73" s="380"/>
      <c r="F73" s="132" t="s">
        <v>9</v>
      </c>
      <c r="G73" s="133">
        <f>SUM(H73:H73,N73:O73)</f>
        <v>0</v>
      </c>
      <c r="H73" s="137"/>
      <c r="I73" s="137"/>
      <c r="J73" s="138"/>
      <c r="K73" s="136">
        <f t="shared" si="21"/>
        <v>0</v>
      </c>
      <c r="L73" s="137"/>
      <c r="M73" s="137"/>
      <c r="N73" s="120">
        <f t="shared" si="17"/>
        <v>0</v>
      </c>
      <c r="O73" s="137"/>
    </row>
    <row r="74" spans="1:27" outlineLevel="1" x14ac:dyDescent="0.25">
      <c r="A74" s="388"/>
      <c r="B74" s="378"/>
      <c r="C74" s="378"/>
      <c r="D74" s="378"/>
      <c r="E74" s="380"/>
      <c r="F74" s="132" t="s">
        <v>10</v>
      </c>
      <c r="G74" s="133">
        <f>SUM(H74:H74,N74:O74)</f>
        <v>1800</v>
      </c>
      <c r="H74" s="137"/>
      <c r="I74" s="137">
        <v>1800</v>
      </c>
      <c r="J74" s="138">
        <v>1800</v>
      </c>
      <c r="K74" s="136">
        <f t="shared" si="21"/>
        <v>0</v>
      </c>
      <c r="L74" s="137"/>
      <c r="M74" s="137"/>
      <c r="N74" s="120">
        <f t="shared" si="17"/>
        <v>1800</v>
      </c>
      <c r="O74" s="137"/>
    </row>
    <row r="75" spans="1:27" outlineLevel="1" x14ac:dyDescent="0.25">
      <c r="A75" s="388"/>
      <c r="B75" s="378"/>
      <c r="C75" s="378"/>
      <c r="D75" s="378"/>
      <c r="E75" s="380"/>
      <c r="F75" s="132" t="s">
        <v>11</v>
      </c>
      <c r="G75" s="133">
        <f>SUM(H75:H75,N75:O75)</f>
        <v>0</v>
      </c>
      <c r="H75" s="137"/>
      <c r="I75" s="137"/>
      <c r="J75" s="138"/>
      <c r="K75" s="136">
        <f t="shared" si="21"/>
        <v>0</v>
      </c>
      <c r="L75" s="137"/>
      <c r="M75" s="137"/>
      <c r="N75" s="120">
        <f t="shared" si="17"/>
        <v>0</v>
      </c>
      <c r="O75" s="137"/>
    </row>
    <row r="76" spans="1:27" outlineLevel="1" x14ac:dyDescent="0.25">
      <c r="A76" s="388" t="s">
        <v>93</v>
      </c>
      <c r="B76" s="378" t="s">
        <v>21</v>
      </c>
      <c r="C76" s="378" t="s">
        <v>22</v>
      </c>
      <c r="D76" s="378" t="s">
        <v>14</v>
      </c>
      <c r="E76" s="377">
        <v>2023</v>
      </c>
      <c r="F76" s="126" t="s">
        <v>7</v>
      </c>
      <c r="G76" s="127">
        <f t="shared" ref="G76:M76" si="25">SUM(G77:G80)</f>
        <v>5000</v>
      </c>
      <c r="H76" s="127">
        <f t="shared" si="25"/>
        <v>0</v>
      </c>
      <c r="I76" s="127">
        <f t="shared" si="25"/>
        <v>5000</v>
      </c>
      <c r="J76" s="128">
        <f t="shared" si="25"/>
        <v>5000</v>
      </c>
      <c r="K76" s="121">
        <f>I76-J76</f>
        <v>0</v>
      </c>
      <c r="L76" s="127">
        <f t="shared" si="25"/>
        <v>0</v>
      </c>
      <c r="M76" s="127">
        <f t="shared" si="25"/>
        <v>0</v>
      </c>
      <c r="N76" s="120">
        <f t="shared" si="17"/>
        <v>5000</v>
      </c>
      <c r="O76" s="127">
        <f>SUM(O77:O80)</f>
        <v>0</v>
      </c>
    </row>
    <row r="77" spans="1:27" outlineLevel="1" x14ac:dyDescent="0.25">
      <c r="A77" s="388"/>
      <c r="B77" s="378"/>
      <c r="C77" s="378"/>
      <c r="D77" s="378"/>
      <c r="E77" s="377"/>
      <c r="F77" s="132" t="s">
        <v>8</v>
      </c>
      <c r="G77" s="133">
        <f>SUM(H77:H77,N77:O77)</f>
        <v>0</v>
      </c>
      <c r="H77" s="134"/>
      <c r="I77" s="134"/>
      <c r="J77" s="135"/>
      <c r="K77" s="136">
        <f t="shared" si="21"/>
        <v>0</v>
      </c>
      <c r="L77" s="134"/>
      <c r="M77" s="134"/>
      <c r="N77" s="120">
        <f t="shared" si="17"/>
        <v>0</v>
      </c>
      <c r="O77" s="134"/>
    </row>
    <row r="78" spans="1:27" outlineLevel="1" x14ac:dyDescent="0.25">
      <c r="A78" s="388"/>
      <c r="B78" s="378"/>
      <c r="C78" s="378"/>
      <c r="D78" s="378"/>
      <c r="E78" s="377"/>
      <c r="F78" s="132" t="s">
        <v>9</v>
      </c>
      <c r="G78" s="133">
        <f>SUM(H78:H78,N78:O78)</f>
        <v>0</v>
      </c>
      <c r="H78" s="134"/>
      <c r="I78" s="134"/>
      <c r="J78" s="135"/>
      <c r="K78" s="136">
        <f t="shared" si="21"/>
        <v>0</v>
      </c>
      <c r="L78" s="134"/>
      <c r="M78" s="134"/>
      <c r="N78" s="120">
        <f t="shared" si="17"/>
        <v>0</v>
      </c>
      <c r="O78" s="134"/>
    </row>
    <row r="79" spans="1:27" outlineLevel="1" x14ac:dyDescent="0.25">
      <c r="A79" s="388"/>
      <c r="B79" s="378"/>
      <c r="C79" s="378"/>
      <c r="D79" s="378"/>
      <c r="E79" s="377"/>
      <c r="F79" s="132" t="s">
        <v>10</v>
      </c>
      <c r="G79" s="133">
        <f>SUM(H79:H79,N79:O79)</f>
        <v>5000</v>
      </c>
      <c r="H79" s="134"/>
      <c r="I79" s="134">
        <v>5000</v>
      </c>
      <c r="J79" s="135">
        <v>5000</v>
      </c>
      <c r="K79" s="136">
        <f t="shared" si="21"/>
        <v>0</v>
      </c>
      <c r="L79" s="134"/>
      <c r="M79" s="134"/>
      <c r="N79" s="120">
        <f t="shared" si="17"/>
        <v>5000</v>
      </c>
      <c r="O79" s="134"/>
    </row>
    <row r="80" spans="1:27" outlineLevel="1" x14ac:dyDescent="0.25">
      <c r="A80" s="388"/>
      <c r="B80" s="378"/>
      <c r="C80" s="378"/>
      <c r="D80" s="378"/>
      <c r="E80" s="377"/>
      <c r="F80" s="132" t="s">
        <v>11</v>
      </c>
      <c r="G80" s="133">
        <f>SUM(H80:H80,N80:O80)</f>
        <v>0</v>
      </c>
      <c r="H80" s="134"/>
      <c r="I80" s="134"/>
      <c r="J80" s="135"/>
      <c r="K80" s="136">
        <f t="shared" si="21"/>
        <v>0</v>
      </c>
      <c r="L80" s="134"/>
      <c r="M80" s="134"/>
      <c r="N80" s="120">
        <f t="shared" si="17"/>
        <v>0</v>
      </c>
      <c r="O80" s="134"/>
    </row>
    <row r="81" spans="1:15" outlineLevel="1" x14ac:dyDescent="0.25">
      <c r="A81" s="388" t="s">
        <v>94</v>
      </c>
      <c r="B81" s="378" t="s">
        <v>23</v>
      </c>
      <c r="C81" s="378" t="s">
        <v>22</v>
      </c>
      <c r="D81" s="378" t="s">
        <v>14</v>
      </c>
      <c r="E81" s="377" t="s">
        <v>24</v>
      </c>
      <c r="F81" s="126" t="s">
        <v>7</v>
      </c>
      <c r="G81" s="127">
        <f>SUM(G82:G85)</f>
        <v>300000</v>
      </c>
      <c r="H81" s="127">
        <f>SUM(H82:H85)</f>
        <v>0</v>
      </c>
      <c r="I81" s="127">
        <f>SUM(I82:I85)</f>
        <v>0</v>
      </c>
      <c r="J81" s="128"/>
      <c r="K81" s="121">
        <f>I81-J81</f>
        <v>0</v>
      </c>
      <c r="L81" s="127">
        <f>SUM(L82:L85)</f>
        <v>100000</v>
      </c>
      <c r="M81" s="127">
        <f>SUM(M82:M85)</f>
        <v>170000</v>
      </c>
      <c r="N81" s="120">
        <f t="shared" si="17"/>
        <v>270000</v>
      </c>
      <c r="O81" s="127">
        <f>SUM(O82:O85)</f>
        <v>30000</v>
      </c>
    </row>
    <row r="82" spans="1:15" outlineLevel="1" x14ac:dyDescent="0.25">
      <c r="A82" s="388"/>
      <c r="B82" s="378"/>
      <c r="C82" s="378"/>
      <c r="D82" s="378"/>
      <c r="E82" s="377"/>
      <c r="F82" s="132" t="s">
        <v>8</v>
      </c>
      <c r="G82" s="133">
        <f>SUM(H82:H82,N82:O82)</f>
        <v>0</v>
      </c>
      <c r="H82" s="134"/>
      <c r="I82" s="134"/>
      <c r="J82" s="135"/>
      <c r="K82" s="136">
        <f t="shared" si="21"/>
        <v>0</v>
      </c>
      <c r="L82" s="134"/>
      <c r="M82" s="134"/>
      <c r="N82" s="120">
        <f t="shared" si="17"/>
        <v>0</v>
      </c>
      <c r="O82" s="134"/>
    </row>
    <row r="83" spans="1:15" outlineLevel="1" x14ac:dyDescent="0.25">
      <c r="A83" s="388"/>
      <c r="B83" s="378"/>
      <c r="C83" s="378"/>
      <c r="D83" s="378"/>
      <c r="E83" s="377"/>
      <c r="F83" s="132" t="s">
        <v>9</v>
      </c>
      <c r="G83" s="133">
        <f>SUM(H83:H83,N83:O83)</f>
        <v>300000</v>
      </c>
      <c r="H83" s="134"/>
      <c r="I83" s="134"/>
      <c r="J83" s="135"/>
      <c r="K83" s="136">
        <f t="shared" si="21"/>
        <v>0</v>
      </c>
      <c r="L83" s="134">
        <v>100000</v>
      </c>
      <c r="M83" s="134">
        <v>170000</v>
      </c>
      <c r="N83" s="120">
        <f t="shared" si="17"/>
        <v>270000</v>
      </c>
      <c r="O83" s="134">
        <v>30000</v>
      </c>
    </row>
    <row r="84" spans="1:15" outlineLevel="1" x14ac:dyDescent="0.25">
      <c r="A84" s="388"/>
      <c r="B84" s="378"/>
      <c r="C84" s="378"/>
      <c r="D84" s="378"/>
      <c r="E84" s="377"/>
      <c r="F84" s="132" t="s">
        <v>10</v>
      </c>
      <c r="G84" s="133">
        <f>SUM(H84:H84,N84:O84)</f>
        <v>0</v>
      </c>
      <c r="H84" s="134"/>
      <c r="I84" s="134"/>
      <c r="J84" s="135"/>
      <c r="K84" s="136">
        <f t="shared" si="21"/>
        <v>0</v>
      </c>
      <c r="L84" s="134"/>
      <c r="M84" s="134"/>
      <c r="N84" s="120">
        <f t="shared" si="17"/>
        <v>0</v>
      </c>
      <c r="O84" s="134"/>
    </row>
    <row r="85" spans="1:15" outlineLevel="1" x14ac:dyDescent="0.25">
      <c r="A85" s="388"/>
      <c r="B85" s="378"/>
      <c r="C85" s="378"/>
      <c r="D85" s="378"/>
      <c r="E85" s="377"/>
      <c r="F85" s="132" t="s">
        <v>11</v>
      </c>
      <c r="G85" s="133">
        <f>SUM(H85:H85,N85:O85)</f>
        <v>0</v>
      </c>
      <c r="H85" s="134"/>
      <c r="I85" s="134"/>
      <c r="J85" s="135"/>
      <c r="K85" s="136">
        <f t="shared" si="21"/>
        <v>0</v>
      </c>
      <c r="L85" s="134"/>
      <c r="M85" s="134"/>
      <c r="N85" s="120">
        <f t="shared" si="17"/>
        <v>0</v>
      </c>
      <c r="O85" s="134"/>
    </row>
    <row r="86" spans="1:15" outlineLevel="1" x14ac:dyDescent="0.25">
      <c r="A86" s="388" t="s">
        <v>224</v>
      </c>
      <c r="B86" s="378" t="s">
        <v>225</v>
      </c>
      <c r="C86" s="378"/>
      <c r="D86" s="378" t="s">
        <v>226</v>
      </c>
      <c r="E86" s="380">
        <v>2022</v>
      </c>
      <c r="F86" s="126" t="s">
        <v>7</v>
      </c>
      <c r="G86" s="143">
        <f>SUM(G87:G90)</f>
        <v>1514.8</v>
      </c>
      <c r="H86" s="143">
        <f>SUM(H87:H90)</f>
        <v>1514.8</v>
      </c>
      <c r="I86" s="143">
        <f>SUM(I87:I90)</f>
        <v>0</v>
      </c>
      <c r="J86" s="144"/>
      <c r="K86" s="121">
        <f>I86-J86</f>
        <v>0</v>
      </c>
      <c r="L86" s="143">
        <f>SUM(L87:L90)</f>
        <v>0</v>
      </c>
      <c r="M86" s="143">
        <f>SUM(M87:M90)</f>
        <v>0</v>
      </c>
      <c r="N86" s="120">
        <f t="shared" si="17"/>
        <v>0</v>
      </c>
      <c r="O86" s="137">
        <f>SUM(O87:O90)</f>
        <v>0</v>
      </c>
    </row>
    <row r="87" spans="1:15" outlineLevel="1" x14ac:dyDescent="0.25">
      <c r="A87" s="388"/>
      <c r="B87" s="378"/>
      <c r="C87" s="378"/>
      <c r="D87" s="378"/>
      <c r="E87" s="380"/>
      <c r="F87" s="132" t="s">
        <v>8</v>
      </c>
      <c r="G87" s="133">
        <f>SUM(H87:H87,N87:O87)</f>
        <v>0</v>
      </c>
      <c r="H87" s="137"/>
      <c r="I87" s="137"/>
      <c r="J87" s="138"/>
      <c r="K87" s="136">
        <f t="shared" si="21"/>
        <v>0</v>
      </c>
      <c r="L87" s="137"/>
      <c r="M87" s="137"/>
      <c r="N87" s="120">
        <f t="shared" si="17"/>
        <v>0</v>
      </c>
      <c r="O87" s="137"/>
    </row>
    <row r="88" spans="1:15" outlineLevel="1" x14ac:dyDescent="0.25">
      <c r="A88" s="388"/>
      <c r="B88" s="378"/>
      <c r="C88" s="378"/>
      <c r="D88" s="378"/>
      <c r="E88" s="380"/>
      <c r="F88" s="132" t="s">
        <v>9</v>
      </c>
      <c r="G88" s="133">
        <f>SUM(H88:H88,N88:O88)</f>
        <v>0</v>
      </c>
      <c r="H88" s="137"/>
      <c r="I88" s="137"/>
      <c r="J88" s="138"/>
      <c r="K88" s="136">
        <f t="shared" si="21"/>
        <v>0</v>
      </c>
      <c r="L88" s="137"/>
      <c r="M88" s="137"/>
      <c r="N88" s="120">
        <f t="shared" si="17"/>
        <v>0</v>
      </c>
      <c r="O88" s="137"/>
    </row>
    <row r="89" spans="1:15" outlineLevel="1" x14ac:dyDescent="0.25">
      <c r="A89" s="388"/>
      <c r="B89" s="378"/>
      <c r="C89" s="378"/>
      <c r="D89" s="378"/>
      <c r="E89" s="380"/>
      <c r="F89" s="132" t="s">
        <v>10</v>
      </c>
      <c r="G89" s="133">
        <f>SUM(H89:H89,N89:O89)</f>
        <v>0</v>
      </c>
      <c r="H89" s="137"/>
      <c r="I89" s="137"/>
      <c r="J89" s="138"/>
      <c r="K89" s="136">
        <f t="shared" si="21"/>
        <v>0</v>
      </c>
      <c r="L89" s="137"/>
      <c r="M89" s="137"/>
      <c r="N89" s="120">
        <f t="shared" si="17"/>
        <v>0</v>
      </c>
      <c r="O89" s="137"/>
    </row>
    <row r="90" spans="1:15" outlineLevel="1" x14ac:dyDescent="0.25">
      <c r="A90" s="388"/>
      <c r="B90" s="378"/>
      <c r="C90" s="378"/>
      <c r="D90" s="378"/>
      <c r="E90" s="380"/>
      <c r="F90" s="132" t="s">
        <v>11</v>
      </c>
      <c r="G90" s="133">
        <f>SUM(H90:H90,N90:O90)</f>
        <v>1514.8</v>
      </c>
      <c r="H90" s="137">
        <v>1514.8</v>
      </c>
      <c r="I90" s="137"/>
      <c r="J90" s="138"/>
      <c r="K90" s="136">
        <f t="shared" si="21"/>
        <v>0</v>
      </c>
      <c r="L90" s="137"/>
      <c r="M90" s="137"/>
      <c r="N90" s="120">
        <f t="shared" ref="N90:N153" si="26">SUM(I90,L90:M90)</f>
        <v>0</v>
      </c>
      <c r="O90" s="137"/>
    </row>
    <row r="91" spans="1:15" outlineLevel="1" x14ac:dyDescent="0.25">
      <c r="A91" s="388" t="s">
        <v>227</v>
      </c>
      <c r="B91" s="378" t="s">
        <v>228</v>
      </c>
      <c r="C91" s="378" t="s">
        <v>188</v>
      </c>
      <c r="D91" s="378" t="s">
        <v>74</v>
      </c>
      <c r="E91" s="380" t="s">
        <v>30</v>
      </c>
      <c r="F91" s="126" t="s">
        <v>7</v>
      </c>
      <c r="G91" s="143">
        <f>SUM(G92:G95)</f>
        <v>285.8</v>
      </c>
      <c r="H91" s="143">
        <f>SUM(H92:H95)</f>
        <v>285.8</v>
      </c>
      <c r="I91" s="143">
        <f>SUM(I92:I95)</f>
        <v>0</v>
      </c>
      <c r="J91" s="144"/>
      <c r="K91" s="121">
        <f>I91-J91</f>
        <v>0</v>
      </c>
      <c r="L91" s="143">
        <f>SUM(L92:L95)</f>
        <v>0</v>
      </c>
      <c r="M91" s="143">
        <f>SUM(M92:M95)</f>
        <v>0</v>
      </c>
      <c r="N91" s="120">
        <f t="shared" si="26"/>
        <v>0</v>
      </c>
      <c r="O91" s="137">
        <f>SUM(O92:O95)</f>
        <v>0</v>
      </c>
    </row>
    <row r="92" spans="1:15" outlineLevel="1" x14ac:dyDescent="0.25">
      <c r="A92" s="388"/>
      <c r="B92" s="378"/>
      <c r="C92" s="378"/>
      <c r="D92" s="378"/>
      <c r="E92" s="380"/>
      <c r="F92" s="132" t="s">
        <v>8</v>
      </c>
      <c r="G92" s="133">
        <f>SUM(H92:H92,N92:O92)</f>
        <v>0</v>
      </c>
      <c r="H92" s="137"/>
      <c r="I92" s="137"/>
      <c r="J92" s="138"/>
      <c r="K92" s="136">
        <f t="shared" si="21"/>
        <v>0</v>
      </c>
      <c r="L92" s="137"/>
      <c r="M92" s="137"/>
      <c r="N92" s="120">
        <f t="shared" si="26"/>
        <v>0</v>
      </c>
      <c r="O92" s="137"/>
    </row>
    <row r="93" spans="1:15" outlineLevel="1" x14ac:dyDescent="0.25">
      <c r="A93" s="388"/>
      <c r="B93" s="378"/>
      <c r="C93" s="378"/>
      <c r="D93" s="378"/>
      <c r="E93" s="380"/>
      <c r="F93" s="132" t="s">
        <v>9</v>
      </c>
      <c r="G93" s="133">
        <f>SUM(H93:H93,N93:O93)</f>
        <v>285.8</v>
      </c>
      <c r="H93" s="137">
        <v>285.8</v>
      </c>
      <c r="I93" s="137"/>
      <c r="J93" s="138"/>
      <c r="K93" s="136">
        <f t="shared" si="21"/>
        <v>0</v>
      </c>
      <c r="L93" s="137"/>
      <c r="M93" s="137"/>
      <c r="N93" s="120">
        <f t="shared" si="26"/>
        <v>0</v>
      </c>
      <c r="O93" s="137"/>
    </row>
    <row r="94" spans="1:15" outlineLevel="1" x14ac:dyDescent="0.25">
      <c r="A94" s="388"/>
      <c r="B94" s="378"/>
      <c r="C94" s="378"/>
      <c r="D94" s="378"/>
      <c r="E94" s="380"/>
      <c r="F94" s="132" t="s">
        <v>10</v>
      </c>
      <c r="G94" s="133">
        <f>SUM(H94:H94,N94:O94)</f>
        <v>0</v>
      </c>
      <c r="H94" s="137"/>
      <c r="I94" s="137"/>
      <c r="J94" s="138"/>
      <c r="K94" s="136">
        <f t="shared" si="21"/>
        <v>0</v>
      </c>
      <c r="L94" s="137"/>
      <c r="M94" s="137"/>
      <c r="N94" s="120">
        <f t="shared" si="26"/>
        <v>0</v>
      </c>
      <c r="O94" s="137"/>
    </row>
    <row r="95" spans="1:15" outlineLevel="1" x14ac:dyDescent="0.25">
      <c r="A95" s="388"/>
      <c r="B95" s="378"/>
      <c r="C95" s="378"/>
      <c r="D95" s="378"/>
      <c r="E95" s="380"/>
      <c r="F95" s="132" t="s">
        <v>11</v>
      </c>
      <c r="G95" s="133">
        <f>SUM(H95:H95,N95:O95)</f>
        <v>0</v>
      </c>
      <c r="H95" s="137"/>
      <c r="I95" s="137"/>
      <c r="J95" s="138"/>
      <c r="K95" s="136">
        <f t="shared" si="21"/>
        <v>0</v>
      </c>
      <c r="L95" s="137"/>
      <c r="M95" s="137"/>
      <c r="N95" s="120">
        <f t="shared" si="26"/>
        <v>0</v>
      </c>
      <c r="O95" s="137"/>
    </row>
    <row r="96" spans="1:15" outlineLevel="1" x14ac:dyDescent="0.25">
      <c r="A96" s="388" t="s">
        <v>95</v>
      </c>
      <c r="B96" s="378" t="s">
        <v>182</v>
      </c>
      <c r="C96" s="378" t="s">
        <v>188</v>
      </c>
      <c r="D96" s="378" t="s">
        <v>74</v>
      </c>
      <c r="E96" s="380">
        <v>2024</v>
      </c>
      <c r="F96" s="126" t="s">
        <v>7</v>
      </c>
      <c r="G96" s="143">
        <f>SUM(G97:G100)</f>
        <v>85000</v>
      </c>
      <c r="H96" s="143">
        <f t="shared" ref="H96:M96" si="27">SUM(H97:H100)</f>
        <v>0</v>
      </c>
      <c r="I96" s="143">
        <f t="shared" si="27"/>
        <v>0</v>
      </c>
      <c r="J96" s="144">
        <f t="shared" si="27"/>
        <v>0</v>
      </c>
      <c r="K96" s="121">
        <f>I96-J96</f>
        <v>0</v>
      </c>
      <c r="L96" s="143">
        <f t="shared" si="27"/>
        <v>85000</v>
      </c>
      <c r="M96" s="143">
        <f t="shared" si="27"/>
        <v>0</v>
      </c>
      <c r="N96" s="120">
        <f>SUM(I96,L96:M96)</f>
        <v>85000</v>
      </c>
      <c r="O96" s="137">
        <f>SUM(O97:O100)</f>
        <v>0</v>
      </c>
    </row>
    <row r="97" spans="1:15" outlineLevel="1" x14ac:dyDescent="0.25">
      <c r="A97" s="388"/>
      <c r="B97" s="378"/>
      <c r="C97" s="378"/>
      <c r="D97" s="378"/>
      <c r="E97" s="380"/>
      <c r="F97" s="132" t="s">
        <v>8</v>
      </c>
      <c r="G97" s="133">
        <f>SUM(H97:H97,N97:O97)</f>
        <v>0</v>
      </c>
      <c r="H97" s="137"/>
      <c r="I97" s="137"/>
      <c r="J97" s="138"/>
      <c r="K97" s="136">
        <f t="shared" si="21"/>
        <v>0</v>
      </c>
      <c r="L97" s="137"/>
      <c r="M97" s="137"/>
      <c r="N97" s="120">
        <f t="shared" si="26"/>
        <v>0</v>
      </c>
      <c r="O97" s="137"/>
    </row>
    <row r="98" spans="1:15" outlineLevel="1" x14ac:dyDescent="0.25">
      <c r="A98" s="388"/>
      <c r="B98" s="378"/>
      <c r="C98" s="378"/>
      <c r="D98" s="378"/>
      <c r="E98" s="380"/>
      <c r="F98" s="132" t="s">
        <v>9</v>
      </c>
      <c r="G98" s="133">
        <f>SUM(H98:H98,N98:O98)</f>
        <v>85000</v>
      </c>
      <c r="H98" s="137"/>
      <c r="I98" s="137"/>
      <c r="J98" s="138"/>
      <c r="K98" s="136">
        <f t="shared" ref="K98:K100" si="28">I98-J98</f>
        <v>0</v>
      </c>
      <c r="L98" s="137">
        <v>85000</v>
      </c>
      <c r="M98" s="137"/>
      <c r="N98" s="120">
        <f t="shared" si="26"/>
        <v>85000</v>
      </c>
      <c r="O98" s="137"/>
    </row>
    <row r="99" spans="1:15" outlineLevel="1" x14ac:dyDescent="0.25">
      <c r="A99" s="388"/>
      <c r="B99" s="378"/>
      <c r="C99" s="378"/>
      <c r="D99" s="378"/>
      <c r="E99" s="380"/>
      <c r="F99" s="132" t="s">
        <v>10</v>
      </c>
      <c r="G99" s="133">
        <f>SUM(H99:H99,N99:O99)</f>
        <v>0</v>
      </c>
      <c r="H99" s="137"/>
      <c r="I99" s="137"/>
      <c r="J99" s="138"/>
      <c r="K99" s="136">
        <f t="shared" si="28"/>
        <v>0</v>
      </c>
      <c r="L99" s="137"/>
      <c r="M99" s="137"/>
      <c r="N99" s="120">
        <f t="shared" si="26"/>
        <v>0</v>
      </c>
      <c r="O99" s="137"/>
    </row>
    <row r="100" spans="1:15" outlineLevel="1" x14ac:dyDescent="0.25">
      <c r="A100" s="388"/>
      <c r="B100" s="378"/>
      <c r="C100" s="378"/>
      <c r="D100" s="378"/>
      <c r="E100" s="380"/>
      <c r="F100" s="132" t="s">
        <v>11</v>
      </c>
      <c r="G100" s="133">
        <f>SUM(H100:H100,N100:O100)</f>
        <v>0</v>
      </c>
      <c r="H100" s="137"/>
      <c r="I100" s="137"/>
      <c r="J100" s="138"/>
      <c r="K100" s="136">
        <f t="shared" si="28"/>
        <v>0</v>
      </c>
      <c r="L100" s="137"/>
      <c r="M100" s="137"/>
      <c r="N100" s="120">
        <f t="shared" si="26"/>
        <v>0</v>
      </c>
      <c r="O100" s="137"/>
    </row>
    <row r="101" spans="1:15" outlineLevel="1" x14ac:dyDescent="0.25">
      <c r="A101" s="388" t="s">
        <v>166</v>
      </c>
      <c r="B101" s="397" t="s">
        <v>179</v>
      </c>
      <c r="C101" s="378" t="s">
        <v>188</v>
      </c>
      <c r="D101" s="397" t="s">
        <v>20</v>
      </c>
      <c r="E101" s="400">
        <v>2025</v>
      </c>
      <c r="F101" s="126" t="s">
        <v>7</v>
      </c>
      <c r="G101" s="143">
        <f>SUM(G102:G105)</f>
        <v>750000</v>
      </c>
      <c r="H101" s="143">
        <f t="shared" ref="H101:J101" si="29">SUM(H102:H105)</f>
        <v>0</v>
      </c>
      <c r="I101" s="143">
        <f t="shared" si="29"/>
        <v>0</v>
      </c>
      <c r="J101" s="144">
        <f t="shared" si="29"/>
        <v>0</v>
      </c>
      <c r="K101" s="121">
        <f>I101-J101</f>
        <v>0</v>
      </c>
      <c r="L101" s="143">
        <f t="shared" ref="L101:M101" si="30">SUM(L102:L105)</f>
        <v>0</v>
      </c>
      <c r="M101" s="143">
        <f t="shared" si="30"/>
        <v>750000</v>
      </c>
      <c r="N101" s="120">
        <f>SUM(I101,L101:M101)</f>
        <v>750000</v>
      </c>
      <c r="O101" s="137">
        <f>SUM(O102:O105)</f>
        <v>0</v>
      </c>
    </row>
    <row r="102" spans="1:15" outlineLevel="1" x14ac:dyDescent="0.25">
      <c r="A102" s="388"/>
      <c r="B102" s="398"/>
      <c r="C102" s="378"/>
      <c r="D102" s="398"/>
      <c r="E102" s="401"/>
      <c r="F102" s="132" t="s">
        <v>8</v>
      </c>
      <c r="G102" s="133">
        <f>SUM(H102:H102,N102:O102)</f>
        <v>712500</v>
      </c>
      <c r="H102" s="137"/>
      <c r="I102" s="137"/>
      <c r="J102" s="138"/>
      <c r="K102" s="136">
        <f t="shared" ref="K102:K105" si="31">I102-J102</f>
        <v>0</v>
      </c>
      <c r="L102" s="137"/>
      <c r="M102" s="137">
        <v>712500</v>
      </c>
      <c r="N102" s="120">
        <f t="shared" ref="N102:N105" si="32">SUM(I102,L102:M102)</f>
        <v>712500</v>
      </c>
      <c r="O102" s="137"/>
    </row>
    <row r="103" spans="1:15" outlineLevel="1" x14ac:dyDescent="0.25">
      <c r="A103" s="388"/>
      <c r="B103" s="398"/>
      <c r="C103" s="378"/>
      <c r="D103" s="398"/>
      <c r="E103" s="401"/>
      <c r="F103" s="132" t="s">
        <v>9</v>
      </c>
      <c r="G103" s="133">
        <f>SUM(H103:H103,N103:O103)</f>
        <v>37500</v>
      </c>
      <c r="H103" s="137"/>
      <c r="I103" s="137"/>
      <c r="J103" s="138"/>
      <c r="K103" s="136">
        <f t="shared" si="31"/>
        <v>0</v>
      </c>
      <c r="L103" s="137"/>
      <c r="M103" s="137">
        <v>37500</v>
      </c>
      <c r="N103" s="120">
        <f t="shared" si="32"/>
        <v>37500</v>
      </c>
      <c r="O103" s="137"/>
    </row>
    <row r="104" spans="1:15" outlineLevel="1" x14ac:dyDescent="0.25">
      <c r="A104" s="388"/>
      <c r="B104" s="398"/>
      <c r="C104" s="378"/>
      <c r="D104" s="398"/>
      <c r="E104" s="401"/>
      <c r="F104" s="132" t="s">
        <v>10</v>
      </c>
      <c r="G104" s="133">
        <f>SUM(H104:H104,N104:O104)</f>
        <v>0</v>
      </c>
      <c r="H104" s="137"/>
      <c r="I104" s="137"/>
      <c r="J104" s="138"/>
      <c r="K104" s="136">
        <f t="shared" si="31"/>
        <v>0</v>
      </c>
      <c r="L104" s="137"/>
      <c r="M104" s="137"/>
      <c r="N104" s="120">
        <f t="shared" si="32"/>
        <v>0</v>
      </c>
      <c r="O104" s="137"/>
    </row>
    <row r="105" spans="1:15" outlineLevel="1" x14ac:dyDescent="0.25">
      <c r="A105" s="388"/>
      <c r="B105" s="399"/>
      <c r="C105" s="378"/>
      <c r="D105" s="399"/>
      <c r="E105" s="402"/>
      <c r="F105" s="132" t="s">
        <v>11</v>
      </c>
      <c r="G105" s="133">
        <f>SUM(H105:H105,N105:O105)</f>
        <v>0</v>
      </c>
      <c r="H105" s="137"/>
      <c r="I105" s="137"/>
      <c r="J105" s="138"/>
      <c r="K105" s="136">
        <f t="shared" si="31"/>
        <v>0</v>
      </c>
      <c r="L105" s="137"/>
      <c r="M105" s="137"/>
      <c r="N105" s="120">
        <f t="shared" si="32"/>
        <v>0</v>
      </c>
      <c r="O105" s="137"/>
    </row>
    <row r="106" spans="1:15" outlineLevel="1" x14ac:dyDescent="0.25">
      <c r="A106" s="388" t="s">
        <v>157</v>
      </c>
      <c r="B106" s="378" t="s">
        <v>149</v>
      </c>
      <c r="C106" s="378"/>
      <c r="D106" s="378" t="s">
        <v>20</v>
      </c>
      <c r="E106" s="380">
        <v>2024</v>
      </c>
      <c r="F106" s="126" t="s">
        <v>7</v>
      </c>
      <c r="G106" s="143">
        <f>SUM(G107:G110)</f>
        <v>11000</v>
      </c>
      <c r="H106" s="143">
        <f>SUM(H107:H110)</f>
        <v>0</v>
      </c>
      <c r="I106" s="143"/>
      <c r="J106" s="144"/>
      <c r="K106" s="121">
        <f>I106-J106</f>
        <v>0</v>
      </c>
      <c r="L106" s="143">
        <f>SUM(L107:L110)</f>
        <v>11000</v>
      </c>
      <c r="M106" s="143">
        <f>SUM(M107:M110)</f>
        <v>0</v>
      </c>
      <c r="N106" s="120">
        <f t="shared" si="26"/>
        <v>11000</v>
      </c>
      <c r="O106" s="137">
        <f>SUM(O107:O110)</f>
        <v>0</v>
      </c>
    </row>
    <row r="107" spans="1:15" outlineLevel="1" x14ac:dyDescent="0.25">
      <c r="A107" s="388"/>
      <c r="B107" s="378"/>
      <c r="C107" s="378"/>
      <c r="D107" s="378"/>
      <c r="E107" s="380"/>
      <c r="F107" s="132" t="s">
        <v>8</v>
      </c>
      <c r="G107" s="133">
        <f>SUM(H107:H107,N107:O107)</f>
        <v>0</v>
      </c>
      <c r="H107" s="137"/>
      <c r="I107" s="137"/>
      <c r="J107" s="138"/>
      <c r="K107" s="136">
        <f t="shared" ref="K107:K110" si="33">I107-J107</f>
        <v>0</v>
      </c>
      <c r="L107" s="137"/>
      <c r="M107" s="137"/>
      <c r="N107" s="120">
        <f t="shared" si="26"/>
        <v>0</v>
      </c>
      <c r="O107" s="137"/>
    </row>
    <row r="108" spans="1:15" outlineLevel="1" x14ac:dyDescent="0.25">
      <c r="A108" s="388"/>
      <c r="B108" s="378"/>
      <c r="C108" s="378"/>
      <c r="D108" s="378"/>
      <c r="E108" s="380"/>
      <c r="F108" s="132" t="s">
        <v>9</v>
      </c>
      <c r="G108" s="133">
        <f>SUM(H108:H108,N108:O108)</f>
        <v>10000</v>
      </c>
      <c r="H108" s="137"/>
      <c r="I108" s="137"/>
      <c r="J108" s="138"/>
      <c r="K108" s="136">
        <f t="shared" si="33"/>
        <v>0</v>
      </c>
      <c r="L108" s="32">
        <v>10000</v>
      </c>
      <c r="M108" s="137"/>
      <c r="N108" s="120">
        <f t="shared" si="26"/>
        <v>10000</v>
      </c>
      <c r="O108" s="137"/>
    </row>
    <row r="109" spans="1:15" outlineLevel="1" x14ac:dyDescent="0.25">
      <c r="A109" s="388"/>
      <c r="B109" s="378"/>
      <c r="C109" s="378"/>
      <c r="D109" s="378"/>
      <c r="E109" s="380"/>
      <c r="F109" s="132" t="s">
        <v>10</v>
      </c>
      <c r="G109" s="133">
        <f>SUM(H109:H109,N109:O109)</f>
        <v>1000</v>
      </c>
      <c r="H109" s="137"/>
      <c r="I109" s="137"/>
      <c r="J109" s="138"/>
      <c r="K109" s="136">
        <f t="shared" si="33"/>
        <v>0</v>
      </c>
      <c r="L109" s="137">
        <v>1000</v>
      </c>
      <c r="M109" s="137"/>
      <c r="N109" s="120">
        <f t="shared" si="26"/>
        <v>1000</v>
      </c>
      <c r="O109" s="137"/>
    </row>
    <row r="110" spans="1:15" outlineLevel="1" x14ac:dyDescent="0.25">
      <c r="A110" s="388"/>
      <c r="B110" s="378"/>
      <c r="C110" s="378"/>
      <c r="D110" s="378"/>
      <c r="E110" s="380"/>
      <c r="F110" s="132" t="s">
        <v>11</v>
      </c>
      <c r="G110" s="133">
        <f>SUM(H110:H110,N110:O110)</f>
        <v>0</v>
      </c>
      <c r="H110" s="137"/>
      <c r="I110" s="137"/>
      <c r="J110" s="138"/>
      <c r="K110" s="136">
        <f t="shared" si="33"/>
        <v>0</v>
      </c>
      <c r="L110" s="137"/>
      <c r="M110" s="137"/>
      <c r="N110" s="120">
        <f t="shared" si="26"/>
        <v>0</v>
      </c>
      <c r="O110" s="137"/>
    </row>
    <row r="111" spans="1:15" outlineLevel="1" x14ac:dyDescent="0.25">
      <c r="A111" s="388" t="s">
        <v>229</v>
      </c>
      <c r="B111" s="397" t="s">
        <v>230</v>
      </c>
      <c r="C111" s="400"/>
      <c r="D111" s="397" t="s">
        <v>231</v>
      </c>
      <c r="E111" s="400">
        <v>2023</v>
      </c>
      <c r="F111" s="126" t="s">
        <v>7</v>
      </c>
      <c r="G111" s="143">
        <f>SUM(G112:G115)</f>
        <v>38000</v>
      </c>
      <c r="H111" s="143">
        <f>SUM(H112:H115)</f>
        <v>0</v>
      </c>
      <c r="I111" s="143">
        <f>SUM(I112:I115)</f>
        <v>38000</v>
      </c>
      <c r="J111" s="144"/>
      <c r="K111" s="121">
        <f>I111-J111</f>
        <v>38000</v>
      </c>
      <c r="L111" s="143">
        <f>SUM(L112:L115)</f>
        <v>0</v>
      </c>
      <c r="M111" s="143">
        <f>SUM(M112:M115)</f>
        <v>0</v>
      </c>
      <c r="N111" s="120">
        <f>SUM(I111,L111:M111)</f>
        <v>38000</v>
      </c>
      <c r="O111" s="137">
        <f>SUM(O112:O115)</f>
        <v>0</v>
      </c>
    </row>
    <row r="112" spans="1:15" outlineLevel="1" x14ac:dyDescent="0.25">
      <c r="A112" s="388"/>
      <c r="B112" s="398"/>
      <c r="C112" s="401"/>
      <c r="D112" s="398"/>
      <c r="E112" s="401"/>
      <c r="F112" s="132" t="s">
        <v>8</v>
      </c>
      <c r="G112" s="133">
        <f>SUM(H112:H112,N112:O112)</f>
        <v>0</v>
      </c>
      <c r="H112" s="137"/>
      <c r="I112" s="137"/>
      <c r="J112" s="138"/>
      <c r="K112" s="136">
        <f t="shared" ref="K112:K115" si="34">I112-J112</f>
        <v>0</v>
      </c>
      <c r="L112" s="137"/>
      <c r="M112" s="137"/>
      <c r="N112" s="120">
        <f>SUM(I112,L112:M112)</f>
        <v>0</v>
      </c>
      <c r="O112" s="137"/>
    </row>
    <row r="113" spans="1:27" outlineLevel="1" x14ac:dyDescent="0.25">
      <c r="A113" s="388"/>
      <c r="B113" s="398"/>
      <c r="C113" s="401"/>
      <c r="D113" s="398"/>
      <c r="E113" s="401"/>
      <c r="F113" s="132" t="s">
        <v>9</v>
      </c>
      <c r="G113" s="133">
        <f>SUM(H113:H113,N113:O113)</f>
        <v>38000</v>
      </c>
      <c r="H113" s="137"/>
      <c r="I113" s="137">
        <v>38000</v>
      </c>
      <c r="J113" s="138"/>
      <c r="K113" s="145">
        <f t="shared" si="34"/>
        <v>38000</v>
      </c>
      <c r="L113" s="137"/>
      <c r="M113" s="137"/>
      <c r="N113" s="120">
        <f t="shared" ref="N113:N115" si="35">SUM(I113,L113:M113)</f>
        <v>38000</v>
      </c>
      <c r="O113" s="137"/>
    </row>
    <row r="114" spans="1:27" outlineLevel="1" x14ac:dyDescent="0.25">
      <c r="A114" s="388"/>
      <c r="B114" s="398"/>
      <c r="C114" s="401"/>
      <c r="D114" s="398"/>
      <c r="E114" s="401"/>
      <c r="F114" s="132" t="s">
        <v>10</v>
      </c>
      <c r="G114" s="133">
        <f>SUM(H114:H114,N114:O114)</f>
        <v>0</v>
      </c>
      <c r="H114" s="137"/>
      <c r="I114" s="137"/>
      <c r="J114" s="138"/>
      <c r="K114" s="136">
        <f t="shared" si="34"/>
        <v>0</v>
      </c>
      <c r="L114" s="137"/>
      <c r="M114" s="137"/>
      <c r="N114" s="120">
        <f t="shared" si="35"/>
        <v>0</v>
      </c>
      <c r="O114" s="137"/>
    </row>
    <row r="115" spans="1:27" outlineLevel="1" x14ac:dyDescent="0.25">
      <c r="A115" s="388"/>
      <c r="B115" s="399"/>
      <c r="C115" s="402"/>
      <c r="D115" s="399"/>
      <c r="E115" s="402"/>
      <c r="F115" s="132" t="s">
        <v>11</v>
      </c>
      <c r="G115" s="133">
        <f>SUM(H115:H115,N115:O115)</f>
        <v>0</v>
      </c>
      <c r="H115" s="137"/>
      <c r="I115" s="137"/>
      <c r="J115" s="138"/>
      <c r="K115" s="136">
        <f t="shared" si="34"/>
        <v>0</v>
      </c>
      <c r="L115" s="137"/>
      <c r="M115" s="137"/>
      <c r="N115" s="120">
        <f t="shared" si="35"/>
        <v>0</v>
      </c>
      <c r="O115" s="137"/>
    </row>
    <row r="116" spans="1:27" s="99" customFormat="1" outlineLevel="1" x14ac:dyDescent="0.25">
      <c r="A116" s="388" t="s">
        <v>178</v>
      </c>
      <c r="B116" s="378" t="s">
        <v>64</v>
      </c>
      <c r="C116" s="378"/>
      <c r="D116" s="378" t="s">
        <v>186</v>
      </c>
      <c r="E116" s="377" t="s">
        <v>16</v>
      </c>
      <c r="F116" s="126" t="s">
        <v>7</v>
      </c>
      <c r="G116" s="120">
        <f>SUM(G117:G120)</f>
        <v>20000</v>
      </c>
      <c r="H116" s="120">
        <f>SUM(H117:H120)</f>
        <v>0</v>
      </c>
      <c r="I116" s="120">
        <f>SUM(I117:I120)</f>
        <v>0</v>
      </c>
      <c r="J116" s="121"/>
      <c r="K116" s="121">
        <f>I116-J116</f>
        <v>0</v>
      </c>
      <c r="L116" s="120">
        <f>SUM(L117:L120)</f>
        <v>5000</v>
      </c>
      <c r="M116" s="120">
        <f>SUM(M117:M120)</f>
        <v>15000</v>
      </c>
      <c r="N116" s="120">
        <f t="shared" si="26"/>
        <v>20000</v>
      </c>
      <c r="O116" s="120">
        <f>SUM(O117:O120)</f>
        <v>0</v>
      </c>
      <c r="P116" s="25"/>
      <c r="Q116" s="25"/>
      <c r="R116"/>
      <c r="S116" s="97"/>
      <c r="T116" s="97"/>
      <c r="U116" s="97"/>
      <c r="V116" s="97"/>
      <c r="W116" s="97"/>
      <c r="X116" s="97"/>
      <c r="Y116" s="97"/>
      <c r="Z116" s="97"/>
      <c r="AA116" s="97"/>
    </row>
    <row r="117" spans="1:27" s="99" customFormat="1" outlineLevel="1" x14ac:dyDescent="0.25">
      <c r="A117" s="388"/>
      <c r="B117" s="378"/>
      <c r="C117" s="378"/>
      <c r="D117" s="378"/>
      <c r="E117" s="377"/>
      <c r="F117" s="132" t="s">
        <v>8</v>
      </c>
      <c r="G117" s="133">
        <f>SUM(H117:H117,N117:O117)</f>
        <v>0</v>
      </c>
      <c r="H117" s="137"/>
      <c r="I117" s="137"/>
      <c r="J117" s="138"/>
      <c r="K117" s="136">
        <f t="shared" ref="K117:K120" si="36">I117-J117</f>
        <v>0</v>
      </c>
      <c r="L117" s="137"/>
      <c r="M117" s="137"/>
      <c r="N117" s="120">
        <f t="shared" si="26"/>
        <v>0</v>
      </c>
      <c r="O117" s="137"/>
      <c r="P117" s="25"/>
      <c r="Q117" s="25"/>
      <c r="R117"/>
      <c r="S117" s="97"/>
      <c r="T117" s="97"/>
      <c r="U117" s="97"/>
      <c r="V117" s="97"/>
      <c r="W117" s="97"/>
      <c r="X117" s="97"/>
      <c r="Y117" s="97"/>
      <c r="Z117" s="97"/>
      <c r="AA117" s="97"/>
    </row>
    <row r="118" spans="1:27" s="99" customFormat="1" outlineLevel="1" x14ac:dyDescent="0.25">
      <c r="A118" s="388"/>
      <c r="B118" s="378"/>
      <c r="C118" s="378"/>
      <c r="D118" s="378"/>
      <c r="E118" s="377"/>
      <c r="F118" s="132" t="s">
        <v>9</v>
      </c>
      <c r="G118" s="133">
        <f>SUM(H118:H118,N118:O118)</f>
        <v>20000</v>
      </c>
      <c r="H118" s="133"/>
      <c r="I118" s="133"/>
      <c r="J118" s="136"/>
      <c r="K118" s="136">
        <f t="shared" si="36"/>
        <v>0</v>
      </c>
      <c r="L118" s="33">
        <v>5000</v>
      </c>
      <c r="M118" s="34">
        <v>15000</v>
      </c>
      <c r="N118" s="120">
        <f t="shared" si="26"/>
        <v>20000</v>
      </c>
      <c r="O118" s="137"/>
      <c r="P118" s="25"/>
      <c r="Q118" s="25"/>
      <c r="R118"/>
      <c r="S118" s="97"/>
      <c r="T118" s="97"/>
      <c r="U118" s="97"/>
      <c r="V118" s="97"/>
      <c r="W118" s="97"/>
      <c r="X118" s="97"/>
      <c r="Y118" s="97"/>
      <c r="Z118" s="97"/>
      <c r="AA118" s="97"/>
    </row>
    <row r="119" spans="1:27" s="99" customFormat="1" outlineLevel="1" x14ac:dyDescent="0.25">
      <c r="A119" s="388"/>
      <c r="B119" s="378"/>
      <c r="C119" s="378"/>
      <c r="D119" s="378"/>
      <c r="E119" s="377"/>
      <c r="F119" s="132" t="s">
        <v>10</v>
      </c>
      <c r="G119" s="133">
        <f>SUM(H119:H119,N119:O119)</f>
        <v>0</v>
      </c>
      <c r="H119" s="137"/>
      <c r="I119" s="137"/>
      <c r="J119" s="138"/>
      <c r="K119" s="136">
        <f t="shared" si="36"/>
        <v>0</v>
      </c>
      <c r="L119" s="137"/>
      <c r="M119" s="137"/>
      <c r="N119" s="120">
        <f t="shared" si="26"/>
        <v>0</v>
      </c>
      <c r="O119" s="137"/>
      <c r="P119" s="25"/>
      <c r="Q119" s="25"/>
      <c r="R119"/>
      <c r="S119" s="97"/>
      <c r="T119" s="97"/>
      <c r="U119" s="97"/>
      <c r="V119" s="97"/>
      <c r="W119" s="97"/>
      <c r="X119" s="97"/>
      <c r="Y119" s="97"/>
      <c r="Z119" s="97"/>
      <c r="AA119" s="97"/>
    </row>
    <row r="120" spans="1:27" s="99" customFormat="1" outlineLevel="1" x14ac:dyDescent="0.25">
      <c r="A120" s="388"/>
      <c r="B120" s="378"/>
      <c r="C120" s="378"/>
      <c r="D120" s="378"/>
      <c r="E120" s="377"/>
      <c r="F120" s="132" t="s">
        <v>11</v>
      </c>
      <c r="G120" s="133">
        <f>SUM(H120:H120,N120:O120)</f>
        <v>0</v>
      </c>
      <c r="H120" s="137"/>
      <c r="I120" s="137"/>
      <c r="J120" s="138"/>
      <c r="K120" s="136">
        <f t="shared" si="36"/>
        <v>0</v>
      </c>
      <c r="L120" s="137"/>
      <c r="M120" s="137"/>
      <c r="N120" s="120">
        <f t="shared" si="26"/>
        <v>0</v>
      </c>
      <c r="O120" s="137"/>
      <c r="P120" s="25"/>
      <c r="Q120" s="25"/>
      <c r="R120"/>
      <c r="S120" s="97"/>
      <c r="T120" s="97"/>
      <c r="U120" s="97"/>
      <c r="V120" s="97"/>
      <c r="W120" s="97"/>
      <c r="X120" s="97"/>
      <c r="Y120" s="97"/>
      <c r="Z120" s="97"/>
      <c r="AA120" s="97"/>
    </row>
    <row r="121" spans="1:27" s="72" customFormat="1" x14ac:dyDescent="0.25">
      <c r="A121" s="390" t="s">
        <v>25</v>
      </c>
      <c r="B121" s="382" t="s">
        <v>26</v>
      </c>
      <c r="C121" s="396"/>
      <c r="D121" s="381"/>
      <c r="E121" s="381"/>
      <c r="F121" s="65" t="s">
        <v>7</v>
      </c>
      <c r="G121" s="66">
        <f t="shared" ref="G121:M121" si="37">SUM(G122:G125)</f>
        <v>792489.88802091207</v>
      </c>
      <c r="H121" s="66">
        <f t="shared" si="37"/>
        <v>17408.11</v>
      </c>
      <c r="I121" s="66">
        <f t="shared" si="37"/>
        <v>85699.504050720716</v>
      </c>
      <c r="J121" s="124">
        <f>SUM(J122:J125)</f>
        <v>80773.670720720722</v>
      </c>
      <c r="K121" s="124">
        <f>I121-J121</f>
        <v>4925.833329999994</v>
      </c>
      <c r="L121" s="66">
        <f t="shared" si="37"/>
        <v>263299.13072072068</v>
      </c>
      <c r="M121" s="66">
        <f t="shared" si="37"/>
        <v>217449.50324947073</v>
      </c>
      <c r="N121" s="66">
        <f t="shared" si="26"/>
        <v>566448.13802091219</v>
      </c>
      <c r="O121" s="66">
        <f>SUM(O122:O125)</f>
        <v>208633.63999999998</v>
      </c>
      <c r="P121" s="70" t="e">
        <f>G121+#REF!</f>
        <v>#REF!</v>
      </c>
      <c r="Q121" s="71" t="e">
        <f>P121/G10*100</f>
        <v>#REF!</v>
      </c>
      <c r="S121" s="146"/>
      <c r="T121" s="146"/>
      <c r="U121" s="146"/>
      <c r="V121" s="146"/>
      <c r="W121" s="146"/>
      <c r="X121" s="146"/>
      <c r="Y121" s="146"/>
      <c r="Z121" s="146"/>
      <c r="AA121" s="146"/>
    </row>
    <row r="122" spans="1:27" s="72" customFormat="1" x14ac:dyDescent="0.25">
      <c r="A122" s="390"/>
      <c r="B122" s="382"/>
      <c r="C122" s="396"/>
      <c r="D122" s="381"/>
      <c r="E122" s="381"/>
      <c r="F122" s="69" t="s">
        <v>8</v>
      </c>
      <c r="G122" s="66">
        <f>SUM(H122:H122,N122:O122)</f>
        <v>0</v>
      </c>
      <c r="H122" s="73">
        <f>H127+H132+H137+H142+H152+H157+H162+H147+H167+H172+H177+H182</f>
        <v>0</v>
      </c>
      <c r="I122" s="73">
        <f t="shared" ref="I122:M122" si="38">I127+I132+I137+I142+I152+I157+I162+I147+I167+I172+I177+I182</f>
        <v>0</v>
      </c>
      <c r="J122" s="73">
        <f t="shared" si="38"/>
        <v>0</v>
      </c>
      <c r="K122" s="73">
        <f t="shared" si="38"/>
        <v>0</v>
      </c>
      <c r="L122" s="73">
        <f t="shared" si="38"/>
        <v>0</v>
      </c>
      <c r="M122" s="73">
        <f t="shared" si="38"/>
        <v>0</v>
      </c>
      <c r="N122" s="66">
        <f t="shared" si="26"/>
        <v>0</v>
      </c>
      <c r="O122" s="73">
        <f t="shared" ref="O122:O125" si="39">O127+O132+O137+O142+O152+O157+O162+O147+O167+O172+O177+O182</f>
        <v>0</v>
      </c>
      <c r="P122" s="71"/>
      <c r="Q122" s="71"/>
      <c r="S122" s="146"/>
      <c r="T122" s="146"/>
      <c r="U122" s="146"/>
      <c r="V122" s="146"/>
      <c r="W122" s="146"/>
      <c r="X122" s="146"/>
      <c r="Y122" s="146"/>
      <c r="Z122" s="146"/>
      <c r="AA122" s="146"/>
    </row>
    <row r="123" spans="1:27" s="72" customFormat="1" x14ac:dyDescent="0.25">
      <c r="A123" s="390"/>
      <c r="B123" s="382"/>
      <c r="C123" s="396"/>
      <c r="D123" s="381"/>
      <c r="E123" s="381"/>
      <c r="F123" s="69" t="s">
        <v>9</v>
      </c>
      <c r="G123" s="66">
        <f>SUM(H123:H123,N123:O123)</f>
        <v>760914.31420874991</v>
      </c>
      <c r="H123" s="73">
        <f t="shared" ref="H123:M125" si="40">H128+H133+H138+H143+H153+H158+H163+H148+H168+H173+H178+H183</f>
        <v>11948.04</v>
      </c>
      <c r="I123" s="73">
        <f t="shared" si="40"/>
        <v>62648.87</v>
      </c>
      <c r="J123" s="73">
        <f t="shared" si="40"/>
        <v>62648.87</v>
      </c>
      <c r="K123" s="73">
        <f t="shared" si="40"/>
        <v>0</v>
      </c>
      <c r="L123" s="73">
        <f t="shared" si="40"/>
        <v>262178.64583999995</v>
      </c>
      <c r="M123" s="73">
        <f t="shared" si="40"/>
        <v>216600.51836875</v>
      </c>
      <c r="N123" s="66">
        <f t="shared" si="26"/>
        <v>541428.03420874989</v>
      </c>
      <c r="O123" s="73">
        <f t="shared" si="39"/>
        <v>207538.24</v>
      </c>
      <c r="P123" s="71"/>
      <c r="Q123" s="71"/>
      <c r="S123" s="146"/>
      <c r="T123" s="146"/>
      <c r="U123" s="146"/>
      <c r="V123" s="146"/>
      <c r="W123" s="146"/>
      <c r="X123" s="146"/>
      <c r="Y123" s="146"/>
      <c r="Z123" s="146"/>
      <c r="AA123" s="146"/>
    </row>
    <row r="124" spans="1:27" s="72" customFormat="1" x14ac:dyDescent="0.25">
      <c r="A124" s="390"/>
      <c r="B124" s="382"/>
      <c r="C124" s="396"/>
      <c r="D124" s="381"/>
      <c r="E124" s="381"/>
      <c r="F124" s="69" t="s">
        <v>10</v>
      </c>
      <c r="G124" s="66">
        <f>SUM(H124:H124,N124:O124)</f>
        <v>31575.573812162162</v>
      </c>
      <c r="H124" s="73">
        <f t="shared" si="40"/>
        <v>5460.07</v>
      </c>
      <c r="I124" s="73">
        <f t="shared" si="40"/>
        <v>23050.634050720721</v>
      </c>
      <c r="J124" s="73">
        <f t="shared" si="40"/>
        <v>18124.800720720719</v>
      </c>
      <c r="K124" s="73">
        <f t="shared" si="40"/>
        <v>4925.83</v>
      </c>
      <c r="L124" s="73">
        <f t="shared" si="40"/>
        <v>1120.4848807207206</v>
      </c>
      <c r="M124" s="73">
        <f t="shared" si="40"/>
        <v>848.98488072072064</v>
      </c>
      <c r="N124" s="66">
        <f t="shared" si="26"/>
        <v>25020.10381216216</v>
      </c>
      <c r="O124" s="73">
        <f t="shared" si="39"/>
        <v>1095.4000000000001</v>
      </c>
      <c r="P124" s="71"/>
      <c r="Q124" s="71"/>
      <c r="S124" s="146"/>
      <c r="T124" s="146"/>
      <c r="U124" s="146"/>
      <c r="V124" s="146"/>
      <c r="W124" s="146"/>
      <c r="X124" s="146"/>
      <c r="Y124" s="146"/>
      <c r="Z124" s="146"/>
      <c r="AA124" s="146"/>
    </row>
    <row r="125" spans="1:27" s="72" customFormat="1" x14ac:dyDescent="0.25">
      <c r="A125" s="390"/>
      <c r="B125" s="382"/>
      <c r="C125" s="396"/>
      <c r="D125" s="381"/>
      <c r="E125" s="381"/>
      <c r="F125" s="69" t="s">
        <v>11</v>
      </c>
      <c r="G125" s="66">
        <f>SUM(H125:H125,N125:O125)</f>
        <v>0</v>
      </c>
      <c r="H125" s="73">
        <f t="shared" si="40"/>
        <v>0</v>
      </c>
      <c r="I125" s="73">
        <f t="shared" si="40"/>
        <v>0</v>
      </c>
      <c r="J125" s="73">
        <f t="shared" si="40"/>
        <v>0</v>
      </c>
      <c r="K125" s="73">
        <f t="shared" si="40"/>
        <v>0</v>
      </c>
      <c r="L125" s="73">
        <f t="shared" si="40"/>
        <v>0</v>
      </c>
      <c r="M125" s="73">
        <f t="shared" si="40"/>
        <v>0</v>
      </c>
      <c r="N125" s="66">
        <f t="shared" si="26"/>
        <v>0</v>
      </c>
      <c r="O125" s="73">
        <f t="shared" si="39"/>
        <v>0</v>
      </c>
      <c r="P125" s="71"/>
      <c r="Q125" s="71"/>
      <c r="S125" s="146"/>
      <c r="T125" s="146"/>
      <c r="U125" s="146"/>
      <c r="V125" s="146"/>
      <c r="W125" s="146"/>
      <c r="X125" s="146"/>
      <c r="Y125" s="146"/>
      <c r="Z125" s="146"/>
      <c r="AA125" s="146"/>
    </row>
    <row r="126" spans="1:27" outlineLevel="1" x14ac:dyDescent="0.25">
      <c r="A126" s="388" t="s">
        <v>96</v>
      </c>
      <c r="B126" s="378" t="s">
        <v>27</v>
      </c>
      <c r="C126" s="378" t="s">
        <v>28</v>
      </c>
      <c r="D126" s="378" t="s">
        <v>29</v>
      </c>
      <c r="E126" s="377" t="s">
        <v>30</v>
      </c>
      <c r="F126" s="126" t="s">
        <v>7</v>
      </c>
      <c r="G126" s="147">
        <f t="shared" ref="G126:M126" si="41">SUM(G127:G130)</f>
        <v>11924.62</v>
      </c>
      <c r="H126" s="147">
        <f t="shared" si="41"/>
        <v>1600</v>
      </c>
      <c r="I126" s="147">
        <f t="shared" si="41"/>
        <v>10324.620000000001</v>
      </c>
      <c r="J126" s="148">
        <f t="shared" si="41"/>
        <v>10324.620000000001</v>
      </c>
      <c r="K126" s="121">
        <f>I126-J126</f>
        <v>0</v>
      </c>
      <c r="L126" s="147">
        <f t="shared" si="41"/>
        <v>0</v>
      </c>
      <c r="M126" s="147">
        <f t="shared" si="41"/>
        <v>0</v>
      </c>
      <c r="N126" s="120">
        <f t="shared" si="26"/>
        <v>10324.620000000001</v>
      </c>
      <c r="O126" s="147">
        <f>SUM(O127:O130)</f>
        <v>0</v>
      </c>
    </row>
    <row r="127" spans="1:27" outlineLevel="1" x14ac:dyDescent="0.25">
      <c r="A127" s="388"/>
      <c r="B127" s="378"/>
      <c r="C127" s="378"/>
      <c r="D127" s="378"/>
      <c r="E127" s="377"/>
      <c r="F127" s="132" t="s">
        <v>8</v>
      </c>
      <c r="G127" s="133">
        <f>SUM(H127:H127,N127:O127)</f>
        <v>0</v>
      </c>
      <c r="H127" s="133"/>
      <c r="I127" s="133"/>
      <c r="J127" s="136"/>
      <c r="K127" s="121">
        <f t="shared" ref="K127:K143" si="42">I127-J127</f>
        <v>0</v>
      </c>
      <c r="L127" s="133"/>
      <c r="M127" s="133"/>
      <c r="N127" s="120">
        <f t="shared" si="26"/>
        <v>0</v>
      </c>
      <c r="O127" s="133"/>
    </row>
    <row r="128" spans="1:27" outlineLevel="1" x14ac:dyDescent="0.25">
      <c r="A128" s="388"/>
      <c r="B128" s="378"/>
      <c r="C128" s="378"/>
      <c r="D128" s="378"/>
      <c r="E128" s="377"/>
      <c r="F128" s="132" t="s">
        <v>9</v>
      </c>
      <c r="G128" s="133">
        <f>SUM(H128:H128,N128:O128)</f>
        <v>10221.370000000001</v>
      </c>
      <c r="H128" s="133"/>
      <c r="I128" s="133">
        <v>10221.370000000001</v>
      </c>
      <c r="J128" s="136">
        <v>10221.370000000001</v>
      </c>
      <c r="K128" s="121">
        <f t="shared" si="42"/>
        <v>0</v>
      </c>
      <c r="L128" s="133"/>
      <c r="M128" s="133"/>
      <c r="N128" s="120">
        <f t="shared" si="26"/>
        <v>10221.370000000001</v>
      </c>
      <c r="O128" s="133"/>
      <c r="P128" s="46" t="s">
        <v>183</v>
      </c>
      <c r="Q128" s="46"/>
      <c r="R128" s="47"/>
      <c r="S128" s="149"/>
    </row>
    <row r="129" spans="1:16" outlineLevel="1" x14ac:dyDescent="0.25">
      <c r="A129" s="388"/>
      <c r="B129" s="378"/>
      <c r="C129" s="378"/>
      <c r="D129" s="378"/>
      <c r="E129" s="377"/>
      <c r="F129" s="132" t="s">
        <v>10</v>
      </c>
      <c r="G129" s="133">
        <f>SUM(H129:H129,N129:O129)</f>
        <v>1703.25</v>
      </c>
      <c r="H129" s="133">
        <v>1600</v>
      </c>
      <c r="I129" s="133">
        <v>103.25</v>
      </c>
      <c r="J129" s="136">
        <v>103.25</v>
      </c>
      <c r="K129" s="121">
        <f t="shared" si="42"/>
        <v>0</v>
      </c>
      <c r="L129" s="133"/>
      <c r="M129" s="133"/>
      <c r="N129" s="120">
        <f t="shared" si="26"/>
        <v>103.25</v>
      </c>
      <c r="O129" s="133"/>
    </row>
    <row r="130" spans="1:16" outlineLevel="1" x14ac:dyDescent="0.25">
      <c r="A130" s="388"/>
      <c r="B130" s="378"/>
      <c r="C130" s="378"/>
      <c r="D130" s="378"/>
      <c r="E130" s="377"/>
      <c r="F130" s="132" t="s">
        <v>11</v>
      </c>
      <c r="G130" s="133">
        <f>SUM(H130:H130,N130:O130)</f>
        <v>0</v>
      </c>
      <c r="H130" s="133"/>
      <c r="I130" s="133"/>
      <c r="J130" s="136"/>
      <c r="K130" s="121">
        <f t="shared" si="42"/>
        <v>0</v>
      </c>
      <c r="L130" s="133"/>
      <c r="M130" s="133"/>
      <c r="N130" s="120">
        <f t="shared" si="26"/>
        <v>0</v>
      </c>
      <c r="O130" s="133"/>
    </row>
    <row r="131" spans="1:16" outlineLevel="1" x14ac:dyDescent="0.25">
      <c r="A131" s="388" t="s">
        <v>97</v>
      </c>
      <c r="B131" s="378" t="s">
        <v>232</v>
      </c>
      <c r="C131" s="378" t="s">
        <v>233</v>
      </c>
      <c r="D131" s="378" t="s">
        <v>29</v>
      </c>
      <c r="E131" s="380">
        <v>2023</v>
      </c>
      <c r="F131" s="126" t="s">
        <v>7</v>
      </c>
      <c r="G131" s="127">
        <f>SUM(G132:G135)</f>
        <v>14195</v>
      </c>
      <c r="H131" s="127">
        <f>SUM(H132:H135)</f>
        <v>0</v>
      </c>
      <c r="I131" s="127">
        <f>SUM(I132:I135)</f>
        <v>14195</v>
      </c>
      <c r="J131" s="128">
        <f>I131</f>
        <v>14195</v>
      </c>
      <c r="K131" s="121">
        <f t="shared" si="42"/>
        <v>0</v>
      </c>
      <c r="L131" s="127">
        <f>SUM(L132:L135)</f>
        <v>0</v>
      </c>
      <c r="M131" s="127">
        <f>SUM(M132:M135)</f>
        <v>0</v>
      </c>
      <c r="N131" s="120">
        <f t="shared" si="26"/>
        <v>14195</v>
      </c>
      <c r="O131" s="127">
        <f>SUM(O132:O135)</f>
        <v>0</v>
      </c>
    </row>
    <row r="132" spans="1:16" outlineLevel="1" x14ac:dyDescent="0.25">
      <c r="A132" s="388"/>
      <c r="B132" s="378"/>
      <c r="C132" s="378"/>
      <c r="D132" s="378"/>
      <c r="E132" s="380"/>
      <c r="F132" s="132" t="s">
        <v>8</v>
      </c>
      <c r="G132" s="133">
        <f>SUM(H132:H132,N132:O132)</f>
        <v>0</v>
      </c>
      <c r="H132" s="134"/>
      <c r="I132" s="134"/>
      <c r="J132" s="135"/>
      <c r="K132" s="121">
        <f t="shared" si="42"/>
        <v>0</v>
      </c>
      <c r="L132" s="134"/>
      <c r="M132" s="134"/>
      <c r="N132" s="120">
        <f t="shared" si="26"/>
        <v>0</v>
      </c>
      <c r="O132" s="134"/>
    </row>
    <row r="133" spans="1:16" outlineLevel="1" x14ac:dyDescent="0.25">
      <c r="A133" s="388"/>
      <c r="B133" s="378"/>
      <c r="C133" s="378"/>
      <c r="D133" s="378"/>
      <c r="E133" s="380"/>
      <c r="F133" s="132" t="s">
        <v>9</v>
      </c>
      <c r="G133" s="133">
        <f>SUM(H133:H133,N133:O133)</f>
        <v>9316.6</v>
      </c>
      <c r="H133" s="134"/>
      <c r="I133" s="134">
        <v>9316.6</v>
      </c>
      <c r="J133" s="135">
        <f>I133</f>
        <v>9316.6</v>
      </c>
      <c r="K133" s="121">
        <f t="shared" si="42"/>
        <v>0</v>
      </c>
      <c r="L133" s="134"/>
      <c r="M133" s="134"/>
      <c r="N133" s="120">
        <f t="shared" si="26"/>
        <v>9316.6</v>
      </c>
      <c r="O133" s="134"/>
    </row>
    <row r="134" spans="1:16" outlineLevel="1" x14ac:dyDescent="0.25">
      <c r="A134" s="388"/>
      <c r="B134" s="378"/>
      <c r="C134" s="378"/>
      <c r="D134" s="378"/>
      <c r="E134" s="380"/>
      <c r="F134" s="132" t="s">
        <v>10</v>
      </c>
      <c r="G134" s="133">
        <f>SUM(H134:H134,N134:O134)</f>
        <v>4878.3999999999996</v>
      </c>
      <c r="H134" s="134"/>
      <c r="I134" s="134">
        <v>4878.3999999999996</v>
      </c>
      <c r="J134" s="135">
        <v>4878.3999999999996</v>
      </c>
      <c r="K134" s="121">
        <f t="shared" si="42"/>
        <v>0</v>
      </c>
      <c r="L134" s="134"/>
      <c r="M134" s="134"/>
      <c r="N134" s="120">
        <f t="shared" si="26"/>
        <v>4878.3999999999996</v>
      </c>
      <c r="O134" s="134"/>
    </row>
    <row r="135" spans="1:16" outlineLevel="1" x14ac:dyDescent="0.25">
      <c r="A135" s="388"/>
      <c r="B135" s="378"/>
      <c r="C135" s="378"/>
      <c r="D135" s="378"/>
      <c r="E135" s="380"/>
      <c r="F135" s="132" t="s">
        <v>11</v>
      </c>
      <c r="G135" s="133">
        <f>SUM(H135:H135,N135:O135)</f>
        <v>0</v>
      </c>
      <c r="H135" s="134"/>
      <c r="I135" s="134"/>
      <c r="J135" s="135"/>
      <c r="K135" s="121">
        <f t="shared" si="42"/>
        <v>0</v>
      </c>
      <c r="L135" s="134"/>
      <c r="M135" s="134"/>
      <c r="N135" s="120">
        <f t="shared" si="26"/>
        <v>0</v>
      </c>
      <c r="O135" s="134"/>
    </row>
    <row r="136" spans="1:16" outlineLevel="1" x14ac:dyDescent="0.25">
      <c r="A136" s="388" t="s">
        <v>98</v>
      </c>
      <c r="B136" s="378" t="s">
        <v>31</v>
      </c>
      <c r="C136" s="378" t="s">
        <v>32</v>
      </c>
      <c r="D136" s="378" t="s">
        <v>68</v>
      </c>
      <c r="E136" s="380" t="s">
        <v>19</v>
      </c>
      <c r="F136" s="126" t="s">
        <v>7</v>
      </c>
      <c r="G136" s="127">
        <f>SUM(G137:G140)</f>
        <v>26300</v>
      </c>
      <c r="H136" s="127">
        <f>SUM(H137:H140)</f>
        <v>0</v>
      </c>
      <c r="I136" s="150">
        <f>SUM(I137:I140)</f>
        <v>3700</v>
      </c>
      <c r="J136" s="128">
        <f>I136</f>
        <v>3700</v>
      </c>
      <c r="K136" s="121">
        <f t="shared" si="42"/>
        <v>0</v>
      </c>
      <c r="L136" s="150">
        <f>SUM(L137:L140)</f>
        <v>22600</v>
      </c>
      <c r="M136" s="150">
        <f>SUM(M137:M140)</f>
        <v>0</v>
      </c>
      <c r="N136" s="120">
        <f t="shared" si="26"/>
        <v>26300</v>
      </c>
      <c r="O136" s="150">
        <f>SUM(O137:O140)</f>
        <v>0</v>
      </c>
    </row>
    <row r="137" spans="1:16" outlineLevel="1" x14ac:dyDescent="0.25">
      <c r="A137" s="388"/>
      <c r="B137" s="378"/>
      <c r="C137" s="378"/>
      <c r="D137" s="378"/>
      <c r="E137" s="380"/>
      <c r="F137" s="132" t="s">
        <v>8</v>
      </c>
      <c r="G137" s="133">
        <f>SUM(H137:H137,N137:O137)</f>
        <v>0</v>
      </c>
      <c r="H137" s="134"/>
      <c r="I137" s="151"/>
      <c r="J137" s="135"/>
      <c r="K137" s="121">
        <f t="shared" si="42"/>
        <v>0</v>
      </c>
      <c r="L137" s="151"/>
      <c r="M137" s="151"/>
      <c r="N137" s="120">
        <f t="shared" si="26"/>
        <v>0</v>
      </c>
      <c r="O137" s="151"/>
    </row>
    <row r="138" spans="1:16" outlineLevel="1" x14ac:dyDescent="0.25">
      <c r="A138" s="388"/>
      <c r="B138" s="378"/>
      <c r="C138" s="378"/>
      <c r="D138" s="378"/>
      <c r="E138" s="380"/>
      <c r="F138" s="132" t="s">
        <v>9</v>
      </c>
      <c r="G138" s="133">
        <f>SUM(H138:H138,N138:O138)</f>
        <v>22600</v>
      </c>
      <c r="H138" s="134"/>
      <c r="I138" s="151"/>
      <c r="J138" s="135"/>
      <c r="K138" s="121">
        <f t="shared" si="42"/>
        <v>0</v>
      </c>
      <c r="L138" s="35">
        <v>22600</v>
      </c>
      <c r="M138" s="151"/>
      <c r="N138" s="120">
        <f t="shared" si="26"/>
        <v>22600</v>
      </c>
      <c r="O138" s="151"/>
    </row>
    <row r="139" spans="1:16" outlineLevel="1" x14ac:dyDescent="0.25">
      <c r="A139" s="388"/>
      <c r="B139" s="378"/>
      <c r="C139" s="378"/>
      <c r="D139" s="378"/>
      <c r="E139" s="380"/>
      <c r="F139" s="132" t="s">
        <v>10</v>
      </c>
      <c r="G139" s="133">
        <f>SUM(H139:H139,N139:O139)</f>
        <v>3700</v>
      </c>
      <c r="H139" s="134"/>
      <c r="I139" s="151">
        <v>3700</v>
      </c>
      <c r="J139" s="135">
        <f>I139</f>
        <v>3700</v>
      </c>
      <c r="K139" s="121">
        <f t="shared" si="42"/>
        <v>0</v>
      </c>
      <c r="L139" s="151"/>
      <c r="M139" s="151"/>
      <c r="N139" s="120">
        <f t="shared" si="26"/>
        <v>3700</v>
      </c>
      <c r="O139" s="151"/>
    </row>
    <row r="140" spans="1:16" outlineLevel="1" x14ac:dyDescent="0.25">
      <c r="A140" s="388"/>
      <c r="B140" s="378"/>
      <c r="C140" s="378"/>
      <c r="D140" s="378"/>
      <c r="E140" s="380"/>
      <c r="F140" s="132" t="s">
        <v>11</v>
      </c>
      <c r="G140" s="133">
        <f>SUM(H140:H140,N140:O140)</f>
        <v>0</v>
      </c>
      <c r="H140" s="134"/>
      <c r="I140" s="151"/>
      <c r="J140" s="135"/>
      <c r="K140" s="121">
        <f t="shared" si="42"/>
        <v>0</v>
      </c>
      <c r="L140" s="151"/>
      <c r="M140" s="151"/>
      <c r="N140" s="120">
        <f t="shared" si="26"/>
        <v>0</v>
      </c>
      <c r="O140" s="151"/>
    </row>
    <row r="141" spans="1:16" outlineLevel="1" x14ac:dyDescent="0.25">
      <c r="A141" s="388" t="s">
        <v>99</v>
      </c>
      <c r="B141" s="394" t="s">
        <v>33</v>
      </c>
      <c r="C141" s="378" t="s">
        <v>66</v>
      </c>
      <c r="D141" s="378" t="s">
        <v>29</v>
      </c>
      <c r="E141" s="377">
        <v>2023</v>
      </c>
      <c r="F141" s="126" t="s">
        <v>7</v>
      </c>
      <c r="G141" s="147">
        <f>SUM(G142:G145)</f>
        <v>22433.333330000001</v>
      </c>
      <c r="H141" s="147">
        <f>SUM(H142:H145)</f>
        <v>0</v>
      </c>
      <c r="I141" s="147">
        <f>SUM(I142:I145)</f>
        <v>22433.333330000001</v>
      </c>
      <c r="J141" s="148">
        <f>SUM(J142:J145)</f>
        <v>22433.33</v>
      </c>
      <c r="K141" s="121"/>
      <c r="L141" s="147">
        <f>SUM(L142:L145)</f>
        <v>0</v>
      </c>
      <c r="M141" s="147">
        <f>SUM(M142:M145)</f>
        <v>0</v>
      </c>
      <c r="N141" s="120">
        <f t="shared" si="26"/>
        <v>22433.333330000001</v>
      </c>
      <c r="O141" s="147">
        <f>SUM(O142:O145)</f>
        <v>0</v>
      </c>
    </row>
    <row r="142" spans="1:16" outlineLevel="1" x14ac:dyDescent="0.25">
      <c r="A142" s="388"/>
      <c r="B142" s="394"/>
      <c r="C142" s="378"/>
      <c r="D142" s="378"/>
      <c r="E142" s="377"/>
      <c r="F142" s="132" t="s">
        <v>8</v>
      </c>
      <c r="G142" s="133">
        <f>SUM(H142:H142,N142:O142)</f>
        <v>0</v>
      </c>
      <c r="H142" s="133"/>
      <c r="I142" s="133"/>
      <c r="J142" s="136"/>
      <c r="K142" s="121">
        <f t="shared" si="42"/>
        <v>0</v>
      </c>
      <c r="L142" s="133"/>
      <c r="M142" s="133"/>
      <c r="N142" s="120">
        <f t="shared" si="26"/>
        <v>0</v>
      </c>
      <c r="O142" s="133"/>
    </row>
    <row r="143" spans="1:16" outlineLevel="1" x14ac:dyDescent="0.25">
      <c r="A143" s="388"/>
      <c r="B143" s="394"/>
      <c r="C143" s="378"/>
      <c r="D143" s="378"/>
      <c r="E143" s="377"/>
      <c r="F143" s="132" t="s">
        <v>9</v>
      </c>
      <c r="G143" s="133">
        <f>SUM(H143:H143,N143:O143)</f>
        <v>22410.9</v>
      </c>
      <c r="H143" s="133"/>
      <c r="I143" s="133">
        <v>22410.9</v>
      </c>
      <c r="J143" s="136">
        <f>I143</f>
        <v>22410.9</v>
      </c>
      <c r="K143" s="121">
        <f t="shared" si="42"/>
        <v>0</v>
      </c>
      <c r="L143" s="133"/>
      <c r="M143" s="133"/>
      <c r="N143" s="120">
        <f t="shared" si="26"/>
        <v>22410.9</v>
      </c>
      <c r="O143" s="133"/>
      <c r="P143" s="46" t="s">
        <v>183</v>
      </c>
    </row>
    <row r="144" spans="1:16" outlineLevel="1" x14ac:dyDescent="0.25">
      <c r="A144" s="388"/>
      <c r="B144" s="394"/>
      <c r="C144" s="378"/>
      <c r="D144" s="378"/>
      <c r="E144" s="377"/>
      <c r="F144" s="132" t="s">
        <v>10</v>
      </c>
      <c r="G144" s="133">
        <f>SUM(H144:H144,N144:O144)</f>
        <v>22.433330000000002</v>
      </c>
      <c r="H144" s="133"/>
      <c r="I144" s="133">
        <v>22.433330000000002</v>
      </c>
      <c r="J144" s="136">
        <v>22.43</v>
      </c>
      <c r="K144" s="121"/>
      <c r="L144" s="133"/>
      <c r="M144" s="133"/>
      <c r="N144" s="120">
        <f t="shared" si="26"/>
        <v>22.433330000000002</v>
      </c>
      <c r="O144" s="133"/>
    </row>
    <row r="145" spans="1:15" outlineLevel="1" x14ac:dyDescent="0.25">
      <c r="A145" s="388"/>
      <c r="B145" s="394"/>
      <c r="C145" s="378"/>
      <c r="D145" s="378"/>
      <c r="E145" s="377"/>
      <c r="F145" s="132" t="s">
        <v>11</v>
      </c>
      <c r="G145" s="133">
        <f>SUM(H145:H145,N145:O145)</f>
        <v>0</v>
      </c>
      <c r="H145" s="133"/>
      <c r="I145" s="133"/>
      <c r="J145" s="136"/>
      <c r="K145" s="136">
        <f t="shared" ref="K145" si="43">I145-J145</f>
        <v>0</v>
      </c>
      <c r="L145" s="133"/>
      <c r="M145" s="133"/>
      <c r="N145" s="120">
        <f t="shared" si="26"/>
        <v>0</v>
      </c>
      <c r="O145" s="133"/>
    </row>
    <row r="146" spans="1:15" outlineLevel="1" x14ac:dyDescent="0.25">
      <c r="A146" s="388" t="s">
        <v>100</v>
      </c>
      <c r="B146" s="394" t="s">
        <v>34</v>
      </c>
      <c r="C146" s="378" t="s">
        <v>66</v>
      </c>
      <c r="D146" s="378" t="s">
        <v>29</v>
      </c>
      <c r="E146" s="395" t="s">
        <v>24</v>
      </c>
      <c r="F146" s="126" t="s">
        <v>7</v>
      </c>
      <c r="G146" s="147">
        <f>SUM(G147:G150)</f>
        <v>300056.40000000002</v>
      </c>
      <c r="H146" s="147">
        <f>SUM(H147:H150)</f>
        <v>0</v>
      </c>
      <c r="I146" s="147">
        <f>SUM(I147:I150)</f>
        <v>0</v>
      </c>
      <c r="J146" s="148"/>
      <c r="K146" s="121">
        <f>I146-J146</f>
        <v>0</v>
      </c>
      <c r="L146" s="147">
        <f>SUM(L147:L150)</f>
        <v>108420.4</v>
      </c>
      <c r="M146" s="147">
        <f>SUM(M147:M150)</f>
        <v>81003.100000000006</v>
      </c>
      <c r="N146" s="120">
        <f t="shared" si="26"/>
        <v>189423.5</v>
      </c>
      <c r="O146" s="147">
        <f>SUM(O147:O150)</f>
        <v>110632.9</v>
      </c>
    </row>
    <row r="147" spans="1:15" outlineLevel="1" x14ac:dyDescent="0.25">
      <c r="A147" s="388"/>
      <c r="B147" s="394"/>
      <c r="C147" s="378"/>
      <c r="D147" s="378"/>
      <c r="E147" s="395"/>
      <c r="F147" s="132" t="s">
        <v>8</v>
      </c>
      <c r="G147" s="133">
        <f>SUM(H147:H147,N147:O147)</f>
        <v>0</v>
      </c>
      <c r="H147" s="133"/>
      <c r="I147" s="133"/>
      <c r="J147" s="136"/>
      <c r="K147" s="136">
        <f t="shared" ref="K147:K150" si="44">I147-J147</f>
        <v>0</v>
      </c>
      <c r="L147" s="133"/>
      <c r="M147" s="133"/>
      <c r="N147" s="120">
        <f t="shared" si="26"/>
        <v>0</v>
      </c>
      <c r="O147" s="133"/>
    </row>
    <row r="148" spans="1:15" outlineLevel="1" x14ac:dyDescent="0.25">
      <c r="A148" s="388"/>
      <c r="B148" s="394"/>
      <c r="C148" s="378"/>
      <c r="D148" s="378"/>
      <c r="E148" s="395"/>
      <c r="F148" s="132" t="s">
        <v>9</v>
      </c>
      <c r="G148" s="133">
        <f>SUM(H148:H148,N148:O148)</f>
        <v>297085.5</v>
      </c>
      <c r="H148" s="133"/>
      <c r="I148" s="133"/>
      <c r="J148" s="136"/>
      <c r="K148" s="136">
        <f t="shared" si="44"/>
        <v>0</v>
      </c>
      <c r="L148" s="33">
        <v>107346.9</v>
      </c>
      <c r="M148" s="33">
        <v>80201.100000000006</v>
      </c>
      <c r="N148" s="120">
        <f t="shared" si="26"/>
        <v>187548</v>
      </c>
      <c r="O148" s="133">
        <v>109537.5</v>
      </c>
    </row>
    <row r="149" spans="1:15" outlineLevel="1" x14ac:dyDescent="0.25">
      <c r="A149" s="388"/>
      <c r="B149" s="394"/>
      <c r="C149" s="378"/>
      <c r="D149" s="378"/>
      <c r="E149" s="395"/>
      <c r="F149" s="132" t="s">
        <v>10</v>
      </c>
      <c r="G149" s="133">
        <f>SUM(H149:H149,N149:O149)</f>
        <v>2970.9</v>
      </c>
      <c r="H149" s="133"/>
      <c r="I149" s="133"/>
      <c r="J149" s="136"/>
      <c r="K149" s="136">
        <f t="shared" si="44"/>
        <v>0</v>
      </c>
      <c r="L149" s="133">
        <v>1073.5</v>
      </c>
      <c r="M149" s="133">
        <v>802</v>
      </c>
      <c r="N149" s="120">
        <f t="shared" si="26"/>
        <v>1875.5</v>
      </c>
      <c r="O149" s="133">
        <v>1095.4000000000001</v>
      </c>
    </row>
    <row r="150" spans="1:15" outlineLevel="1" x14ac:dyDescent="0.25">
      <c r="A150" s="388"/>
      <c r="B150" s="394"/>
      <c r="C150" s="378"/>
      <c r="D150" s="378"/>
      <c r="E150" s="395"/>
      <c r="F150" s="132" t="s">
        <v>11</v>
      </c>
      <c r="G150" s="133">
        <f>SUM(H150:H150,N150:O150)</f>
        <v>0</v>
      </c>
      <c r="H150" s="133"/>
      <c r="I150" s="133"/>
      <c r="J150" s="136"/>
      <c r="K150" s="136">
        <f t="shared" si="44"/>
        <v>0</v>
      </c>
      <c r="L150" s="133"/>
      <c r="M150" s="133"/>
      <c r="N150" s="120">
        <f t="shared" si="26"/>
        <v>0</v>
      </c>
      <c r="O150" s="133"/>
    </row>
    <row r="151" spans="1:15" outlineLevel="1" x14ac:dyDescent="0.25">
      <c r="A151" s="388" t="s">
        <v>101</v>
      </c>
      <c r="B151" s="378" t="s">
        <v>36</v>
      </c>
      <c r="C151" s="378" t="s">
        <v>37</v>
      </c>
      <c r="D151" s="378" t="s">
        <v>29</v>
      </c>
      <c r="E151" s="377">
        <v>2023</v>
      </c>
      <c r="F151" s="126" t="s">
        <v>7</v>
      </c>
      <c r="G151" s="147">
        <f>SUM(G152:G155)</f>
        <v>4925.83</v>
      </c>
      <c r="H151" s="147">
        <f>SUM(H152:H155)</f>
        <v>0</v>
      </c>
      <c r="I151" s="147">
        <f>SUM(I152:I155)</f>
        <v>4925.83</v>
      </c>
      <c r="J151" s="148">
        <f>SUM(J152:J155)</f>
        <v>0</v>
      </c>
      <c r="K151" s="121">
        <f>I151-J151</f>
        <v>4925.83</v>
      </c>
      <c r="L151" s="147">
        <f>SUM(L152:L155)</f>
        <v>0</v>
      </c>
      <c r="M151" s="147">
        <f>SUM(M152:M155)</f>
        <v>0</v>
      </c>
      <c r="N151" s="120">
        <f t="shared" si="26"/>
        <v>4925.83</v>
      </c>
      <c r="O151" s="147">
        <f>SUM(O152:O155)</f>
        <v>0</v>
      </c>
    </row>
    <row r="152" spans="1:15" outlineLevel="1" x14ac:dyDescent="0.25">
      <c r="A152" s="388"/>
      <c r="B152" s="378"/>
      <c r="C152" s="378"/>
      <c r="D152" s="378"/>
      <c r="E152" s="377"/>
      <c r="F152" s="132" t="s">
        <v>8</v>
      </c>
      <c r="G152" s="133">
        <f>SUM(H152:H152,N152:O152)</f>
        <v>0</v>
      </c>
      <c r="H152" s="133"/>
      <c r="I152" s="133"/>
      <c r="J152" s="136"/>
      <c r="K152" s="136">
        <f t="shared" ref="K152:K155" si="45">I152-J152</f>
        <v>0</v>
      </c>
      <c r="L152" s="133"/>
      <c r="M152" s="133"/>
      <c r="N152" s="120">
        <f t="shared" si="26"/>
        <v>0</v>
      </c>
      <c r="O152" s="133"/>
    </row>
    <row r="153" spans="1:15" outlineLevel="1" x14ac:dyDescent="0.25">
      <c r="A153" s="388"/>
      <c r="B153" s="378"/>
      <c r="C153" s="378"/>
      <c r="D153" s="378"/>
      <c r="E153" s="377"/>
      <c r="F153" s="132" t="s">
        <v>9</v>
      </c>
      <c r="G153" s="133">
        <f>SUM(H153:H153,N153:O153)</f>
        <v>0</v>
      </c>
      <c r="H153" s="133"/>
      <c r="I153" s="133"/>
      <c r="J153" s="136"/>
      <c r="K153" s="136">
        <f>I153</f>
        <v>0</v>
      </c>
      <c r="L153" s="133"/>
      <c r="M153" s="133"/>
      <c r="N153" s="120">
        <f t="shared" si="26"/>
        <v>0</v>
      </c>
      <c r="O153" s="133"/>
    </row>
    <row r="154" spans="1:15" outlineLevel="1" x14ac:dyDescent="0.25">
      <c r="A154" s="388"/>
      <c r="B154" s="378"/>
      <c r="C154" s="378"/>
      <c r="D154" s="378"/>
      <c r="E154" s="377"/>
      <c r="F154" s="132" t="s">
        <v>10</v>
      </c>
      <c r="G154" s="133">
        <f>SUM(H154:H154,N154:O154)</f>
        <v>4925.83</v>
      </c>
      <c r="H154" s="133"/>
      <c r="I154" s="133">
        <v>4925.83</v>
      </c>
      <c r="J154" s="136"/>
      <c r="K154" s="136">
        <f t="shared" si="45"/>
        <v>4925.83</v>
      </c>
      <c r="L154" s="133"/>
      <c r="M154" s="133"/>
      <c r="N154" s="120">
        <f t="shared" ref="N154:N247" si="46">SUM(I154,L154:M154)</f>
        <v>4925.83</v>
      </c>
      <c r="O154" s="133"/>
    </row>
    <row r="155" spans="1:15" outlineLevel="1" x14ac:dyDescent="0.25">
      <c r="A155" s="388"/>
      <c r="B155" s="378"/>
      <c r="C155" s="378"/>
      <c r="D155" s="378"/>
      <c r="E155" s="377"/>
      <c r="F155" s="132" t="s">
        <v>11</v>
      </c>
      <c r="G155" s="133">
        <f>SUM(H155:H155,N155:O155)</f>
        <v>0</v>
      </c>
      <c r="H155" s="133"/>
      <c r="I155" s="133"/>
      <c r="J155" s="136"/>
      <c r="K155" s="136">
        <f t="shared" si="45"/>
        <v>0</v>
      </c>
      <c r="L155" s="133"/>
      <c r="M155" s="133"/>
      <c r="N155" s="120">
        <f t="shared" si="46"/>
        <v>0</v>
      </c>
      <c r="O155" s="133"/>
    </row>
    <row r="156" spans="1:15" outlineLevel="1" x14ac:dyDescent="0.25">
      <c r="A156" s="388" t="s">
        <v>165</v>
      </c>
      <c r="B156" s="378" t="s">
        <v>150</v>
      </c>
      <c r="C156" s="378"/>
      <c r="D156" s="378" t="s">
        <v>201</v>
      </c>
      <c r="E156" s="380" t="s">
        <v>38</v>
      </c>
      <c r="F156" s="126" t="s">
        <v>7</v>
      </c>
      <c r="G156" s="127">
        <f>SUM(G157:G160)</f>
        <v>34131.69</v>
      </c>
      <c r="H156" s="127">
        <f>SUM(H157:H160)</f>
        <v>3847.72</v>
      </c>
      <c r="I156" s="127">
        <f>SUM(I157:I160)</f>
        <v>0</v>
      </c>
      <c r="J156" s="128"/>
      <c r="K156" s="121">
        <f>I156-J156</f>
        <v>0</v>
      </c>
      <c r="L156" s="127">
        <f>SUM(L157:L160)</f>
        <v>9701.43</v>
      </c>
      <c r="M156" s="127">
        <f>SUM(M157:M160)</f>
        <v>10089.48</v>
      </c>
      <c r="N156" s="120">
        <f t="shared" si="46"/>
        <v>19790.91</v>
      </c>
      <c r="O156" s="127">
        <f>SUM(O157:O160)</f>
        <v>10493.06</v>
      </c>
    </row>
    <row r="157" spans="1:15" outlineLevel="1" x14ac:dyDescent="0.25">
      <c r="A157" s="388"/>
      <c r="B157" s="378"/>
      <c r="C157" s="378"/>
      <c r="D157" s="378"/>
      <c r="E157" s="380"/>
      <c r="F157" s="132" t="s">
        <v>8</v>
      </c>
      <c r="G157" s="133">
        <f>SUM(H157:H157,N157:O157)</f>
        <v>0</v>
      </c>
      <c r="H157" s="137"/>
      <c r="I157" s="137"/>
      <c r="J157" s="138"/>
      <c r="K157" s="136">
        <f t="shared" ref="K157:K160" si="47">I157-J157</f>
        <v>0</v>
      </c>
      <c r="L157" s="137"/>
      <c r="M157" s="137"/>
      <c r="N157" s="120">
        <f t="shared" si="46"/>
        <v>0</v>
      </c>
      <c r="O157" s="137"/>
    </row>
    <row r="158" spans="1:15" outlineLevel="1" x14ac:dyDescent="0.25">
      <c r="A158" s="388"/>
      <c r="B158" s="378"/>
      <c r="C158" s="378"/>
      <c r="D158" s="378"/>
      <c r="E158" s="380"/>
      <c r="F158" s="132" t="s">
        <v>9</v>
      </c>
      <c r="G158" s="133">
        <f>SUM(H158:H158,N158:O158)</f>
        <v>30283.97</v>
      </c>
      <c r="H158" s="137"/>
      <c r="I158" s="137"/>
      <c r="J158" s="138"/>
      <c r="K158" s="136">
        <f t="shared" si="47"/>
        <v>0</v>
      </c>
      <c r="L158" s="32">
        <v>9701.43</v>
      </c>
      <c r="M158" s="32">
        <v>10089.48</v>
      </c>
      <c r="N158" s="120">
        <f t="shared" si="46"/>
        <v>19790.91</v>
      </c>
      <c r="O158" s="137">
        <v>10493.06</v>
      </c>
    </row>
    <row r="159" spans="1:15" outlineLevel="1" x14ac:dyDescent="0.25">
      <c r="A159" s="388"/>
      <c r="B159" s="378"/>
      <c r="C159" s="378"/>
      <c r="D159" s="378"/>
      <c r="E159" s="380"/>
      <c r="F159" s="132" t="s">
        <v>10</v>
      </c>
      <c r="G159" s="133">
        <f>SUM(H159:H159,N159:O159)</f>
        <v>3847.72</v>
      </c>
      <c r="H159" s="137">
        <v>3847.72</v>
      </c>
      <c r="I159" s="137"/>
      <c r="J159" s="138"/>
      <c r="K159" s="136">
        <f t="shared" si="47"/>
        <v>0</v>
      </c>
      <c r="L159" s="137"/>
      <c r="M159" s="137"/>
      <c r="N159" s="120">
        <f t="shared" si="46"/>
        <v>0</v>
      </c>
      <c r="O159" s="137"/>
    </row>
    <row r="160" spans="1:15" outlineLevel="1" x14ac:dyDescent="0.25">
      <c r="A160" s="388"/>
      <c r="B160" s="378"/>
      <c r="C160" s="378"/>
      <c r="D160" s="378"/>
      <c r="E160" s="380"/>
      <c r="F160" s="132" t="s">
        <v>11</v>
      </c>
      <c r="G160" s="133">
        <f>SUM(H160:H160,N160:O160)</f>
        <v>0</v>
      </c>
      <c r="H160" s="137"/>
      <c r="I160" s="137"/>
      <c r="J160" s="138"/>
      <c r="K160" s="136">
        <f t="shared" si="47"/>
        <v>0</v>
      </c>
      <c r="L160" s="137"/>
      <c r="M160" s="137"/>
      <c r="N160" s="120">
        <f t="shared" si="46"/>
        <v>0</v>
      </c>
      <c r="O160" s="137"/>
    </row>
    <row r="161" spans="1:27" outlineLevel="1" x14ac:dyDescent="0.25">
      <c r="A161" s="388" t="s">
        <v>234</v>
      </c>
      <c r="B161" s="378" t="s">
        <v>235</v>
      </c>
      <c r="C161" s="378" t="s">
        <v>236</v>
      </c>
      <c r="D161" s="378" t="s">
        <v>40</v>
      </c>
      <c r="E161" s="380">
        <v>2023</v>
      </c>
      <c r="F161" s="126" t="s">
        <v>7</v>
      </c>
      <c r="G161" s="120">
        <f t="shared" ref="G161:M161" si="48">SUM(G162:G165)</f>
        <v>20720.720720720721</v>
      </c>
      <c r="H161" s="120">
        <f t="shared" si="48"/>
        <v>0</v>
      </c>
      <c r="I161" s="120">
        <f t="shared" si="48"/>
        <v>20720.720720720721</v>
      </c>
      <c r="J161" s="121">
        <f t="shared" si="48"/>
        <v>20720.720720720721</v>
      </c>
      <c r="K161" s="121">
        <f>I161-J161</f>
        <v>0</v>
      </c>
      <c r="L161" s="120">
        <f t="shared" si="48"/>
        <v>0</v>
      </c>
      <c r="M161" s="120">
        <f t="shared" si="48"/>
        <v>0</v>
      </c>
      <c r="N161" s="120">
        <f t="shared" si="46"/>
        <v>20720.720720720721</v>
      </c>
      <c r="O161" s="120">
        <f>SUM(O162:O165)</f>
        <v>0</v>
      </c>
    </row>
    <row r="162" spans="1:27" outlineLevel="1" x14ac:dyDescent="0.25">
      <c r="A162" s="388"/>
      <c r="B162" s="378"/>
      <c r="C162" s="378"/>
      <c r="D162" s="378"/>
      <c r="E162" s="380"/>
      <c r="F162" s="132" t="s">
        <v>8</v>
      </c>
      <c r="G162" s="133">
        <f>SUM(H162:H162,N162:O162)</f>
        <v>0</v>
      </c>
      <c r="H162" s="137"/>
      <c r="I162" s="137"/>
      <c r="J162" s="138"/>
      <c r="K162" s="136">
        <f t="shared" ref="K162:K165" si="49">I162-J162</f>
        <v>0</v>
      </c>
      <c r="L162" s="137"/>
      <c r="M162" s="137"/>
      <c r="N162" s="120">
        <f t="shared" si="46"/>
        <v>0</v>
      </c>
      <c r="O162" s="137"/>
    </row>
    <row r="163" spans="1:27" outlineLevel="1" x14ac:dyDescent="0.25">
      <c r="A163" s="388"/>
      <c r="B163" s="378"/>
      <c r="C163" s="378"/>
      <c r="D163" s="378"/>
      <c r="E163" s="380"/>
      <c r="F163" s="132" t="s">
        <v>9</v>
      </c>
      <c r="G163" s="133">
        <f>SUM(H163:H163,N163:O163)</f>
        <v>20700</v>
      </c>
      <c r="H163" s="137"/>
      <c r="I163" s="137">
        <v>20700</v>
      </c>
      <c r="J163" s="138">
        <f>I163</f>
        <v>20700</v>
      </c>
      <c r="K163" s="136">
        <f t="shared" si="49"/>
        <v>0</v>
      </c>
      <c r="L163" s="137"/>
      <c r="M163" s="137"/>
      <c r="N163" s="120">
        <f t="shared" si="46"/>
        <v>20700</v>
      </c>
      <c r="O163" s="137"/>
    </row>
    <row r="164" spans="1:27" outlineLevel="1" x14ac:dyDescent="0.25">
      <c r="A164" s="388"/>
      <c r="B164" s="378"/>
      <c r="C164" s="378"/>
      <c r="D164" s="378"/>
      <c r="E164" s="380"/>
      <c r="F164" s="132" t="s">
        <v>10</v>
      </c>
      <c r="G164" s="133">
        <f>SUM(H164:H164,N164:O164)</f>
        <v>20.72072072072072</v>
      </c>
      <c r="H164" s="137"/>
      <c r="I164" s="137">
        <f>I163*0.1/99.9</f>
        <v>20.72072072072072</v>
      </c>
      <c r="J164" s="138">
        <f>I164</f>
        <v>20.72072072072072</v>
      </c>
      <c r="K164" s="136">
        <f t="shared" si="49"/>
        <v>0</v>
      </c>
      <c r="L164" s="137"/>
      <c r="M164" s="137"/>
      <c r="N164" s="120">
        <f t="shared" si="46"/>
        <v>20.72072072072072</v>
      </c>
      <c r="O164" s="137"/>
    </row>
    <row r="165" spans="1:27" outlineLevel="1" x14ac:dyDescent="0.25">
      <c r="A165" s="388"/>
      <c r="B165" s="378"/>
      <c r="C165" s="378"/>
      <c r="D165" s="378"/>
      <c r="E165" s="380"/>
      <c r="F165" s="132" t="s">
        <v>11</v>
      </c>
      <c r="G165" s="133">
        <f>SUM(H165:H165,N165:O165)</f>
        <v>0</v>
      </c>
      <c r="H165" s="137"/>
      <c r="I165" s="137"/>
      <c r="J165" s="138"/>
      <c r="K165" s="136">
        <f t="shared" si="49"/>
        <v>0</v>
      </c>
      <c r="L165" s="137"/>
      <c r="M165" s="137"/>
      <c r="N165" s="120">
        <f t="shared" si="46"/>
        <v>0</v>
      </c>
      <c r="O165" s="137"/>
    </row>
    <row r="166" spans="1:27" outlineLevel="1" x14ac:dyDescent="0.25">
      <c r="A166" s="388" t="s">
        <v>102</v>
      </c>
      <c r="B166" s="378" t="s">
        <v>162</v>
      </c>
      <c r="C166" s="378"/>
      <c r="D166" s="378" t="s">
        <v>40</v>
      </c>
      <c r="E166" s="380" t="s">
        <v>16</v>
      </c>
      <c r="F166" s="126" t="s">
        <v>7</v>
      </c>
      <c r="G166" s="120">
        <f>SUM(G167:G170)</f>
        <v>41441.441441441442</v>
      </c>
      <c r="H166" s="120">
        <f>SUM(H167:H170)</f>
        <v>0</v>
      </c>
      <c r="I166" s="120">
        <f>SUM(I167:I170)</f>
        <v>0</v>
      </c>
      <c r="J166" s="121"/>
      <c r="K166" s="121">
        <f>I166-J166</f>
        <v>0</v>
      </c>
      <c r="L166" s="120">
        <f>SUM(L167:L170)</f>
        <v>20720.720720720721</v>
      </c>
      <c r="M166" s="120">
        <f>SUM(M167:M170)</f>
        <v>20720.720720720721</v>
      </c>
      <c r="N166" s="120">
        <f t="shared" si="46"/>
        <v>41441.441441441442</v>
      </c>
      <c r="O166" s="120">
        <f>SUM(O167:O170)</f>
        <v>0</v>
      </c>
    </row>
    <row r="167" spans="1:27" outlineLevel="1" x14ac:dyDescent="0.25">
      <c r="A167" s="388"/>
      <c r="B167" s="378"/>
      <c r="C167" s="378"/>
      <c r="D167" s="378"/>
      <c r="E167" s="380"/>
      <c r="F167" s="132" t="s">
        <v>8</v>
      </c>
      <c r="G167" s="133">
        <f>SUM(H167:H167,N167:O167)</f>
        <v>0</v>
      </c>
      <c r="H167" s="137"/>
      <c r="I167" s="137"/>
      <c r="J167" s="138"/>
      <c r="K167" s="136">
        <f t="shared" ref="K167:K170" si="50">I167-J167</f>
        <v>0</v>
      </c>
      <c r="L167" s="137"/>
      <c r="M167" s="137"/>
      <c r="N167" s="120">
        <f t="shared" si="46"/>
        <v>0</v>
      </c>
      <c r="O167" s="137"/>
    </row>
    <row r="168" spans="1:27" outlineLevel="1" x14ac:dyDescent="0.25">
      <c r="A168" s="388"/>
      <c r="B168" s="378"/>
      <c r="C168" s="378"/>
      <c r="D168" s="378"/>
      <c r="E168" s="380"/>
      <c r="F168" s="132" t="s">
        <v>9</v>
      </c>
      <c r="G168" s="133">
        <f>SUM(H168:H168,N168:O168)</f>
        <v>41400</v>
      </c>
      <c r="H168" s="137"/>
      <c r="I168" s="137"/>
      <c r="J168" s="138"/>
      <c r="K168" s="136">
        <f t="shared" si="50"/>
        <v>0</v>
      </c>
      <c r="L168" s="137">
        <v>20700</v>
      </c>
      <c r="M168" s="137">
        <v>20700</v>
      </c>
      <c r="N168" s="120">
        <f t="shared" si="46"/>
        <v>41400</v>
      </c>
      <c r="O168" s="137"/>
    </row>
    <row r="169" spans="1:27" outlineLevel="1" x14ac:dyDescent="0.25">
      <c r="A169" s="388"/>
      <c r="B169" s="378"/>
      <c r="C169" s="378"/>
      <c r="D169" s="378"/>
      <c r="E169" s="380"/>
      <c r="F169" s="132" t="s">
        <v>10</v>
      </c>
      <c r="G169" s="133">
        <f>SUM(H169:H169,N169:O169)</f>
        <v>41.441441441441441</v>
      </c>
      <c r="H169" s="137"/>
      <c r="I169" s="137"/>
      <c r="J169" s="138"/>
      <c r="K169" s="136">
        <f t="shared" si="50"/>
        <v>0</v>
      </c>
      <c r="L169" s="137">
        <f>L168*0.1/99.9</f>
        <v>20.72072072072072</v>
      </c>
      <c r="M169" s="137">
        <f>M168*0.1/99.9</f>
        <v>20.72072072072072</v>
      </c>
      <c r="N169" s="120">
        <f t="shared" si="46"/>
        <v>41.441441441441441</v>
      </c>
      <c r="O169" s="137"/>
    </row>
    <row r="170" spans="1:27" outlineLevel="1" x14ac:dyDescent="0.25">
      <c r="A170" s="388"/>
      <c r="B170" s="378"/>
      <c r="C170" s="378"/>
      <c r="D170" s="378"/>
      <c r="E170" s="380"/>
      <c r="F170" s="132" t="s">
        <v>11</v>
      </c>
      <c r="G170" s="133">
        <f>SUM(H170:H170,N170:O170)</f>
        <v>0</v>
      </c>
      <c r="H170" s="137"/>
      <c r="I170" s="137"/>
      <c r="J170" s="138"/>
      <c r="K170" s="136">
        <f t="shared" si="50"/>
        <v>0</v>
      </c>
      <c r="L170" s="137"/>
      <c r="M170" s="137"/>
      <c r="N170" s="120">
        <f t="shared" si="46"/>
        <v>0</v>
      </c>
      <c r="O170" s="137"/>
    </row>
    <row r="171" spans="1:27" s="47" customFormat="1" outlineLevel="1" x14ac:dyDescent="0.25">
      <c r="A171" s="371" t="s">
        <v>210</v>
      </c>
      <c r="B171" s="372" t="s">
        <v>237</v>
      </c>
      <c r="C171" s="372" t="s">
        <v>238</v>
      </c>
      <c r="D171" s="372" t="s">
        <v>29</v>
      </c>
      <c r="E171" s="374">
        <v>2023</v>
      </c>
      <c r="F171" s="50" t="s">
        <v>7</v>
      </c>
      <c r="G171" s="152">
        <f t="shared" ref="G171:M171" si="51">SUM(G172:G175)</f>
        <v>9400</v>
      </c>
      <c r="H171" s="152">
        <f t="shared" si="51"/>
        <v>0</v>
      </c>
      <c r="I171" s="152">
        <f t="shared" si="51"/>
        <v>9400</v>
      </c>
      <c r="J171" s="153">
        <f t="shared" si="51"/>
        <v>9400</v>
      </c>
      <c r="K171" s="154">
        <f>I171-J171</f>
        <v>0</v>
      </c>
      <c r="L171" s="152">
        <f t="shared" si="51"/>
        <v>0</v>
      </c>
      <c r="M171" s="152">
        <f t="shared" si="51"/>
        <v>0</v>
      </c>
      <c r="N171" s="51">
        <f t="shared" si="46"/>
        <v>9400</v>
      </c>
      <c r="O171" s="152">
        <f>SUM(O172:O175)</f>
        <v>0</v>
      </c>
      <c r="S171" s="149"/>
      <c r="T171" s="149"/>
      <c r="U171" s="149"/>
      <c r="V171" s="149"/>
      <c r="W171" s="149"/>
      <c r="X171" s="149"/>
      <c r="Y171" s="149"/>
      <c r="Z171" s="149"/>
      <c r="AA171" s="149"/>
    </row>
    <row r="172" spans="1:27" s="47" customFormat="1" outlineLevel="1" x14ac:dyDescent="0.25">
      <c r="A172" s="371"/>
      <c r="B172" s="372"/>
      <c r="C172" s="372"/>
      <c r="D172" s="372"/>
      <c r="E172" s="374"/>
      <c r="F172" s="52" t="s">
        <v>8</v>
      </c>
      <c r="G172" s="53">
        <f>SUM(H172:H172,N172:O172)</f>
        <v>0</v>
      </c>
      <c r="H172" s="53"/>
      <c r="I172" s="53"/>
      <c r="J172" s="155"/>
      <c r="K172" s="155">
        <f t="shared" ref="K172:K185" si="52">I172-J172</f>
        <v>0</v>
      </c>
      <c r="L172" s="53"/>
      <c r="M172" s="53"/>
      <c r="N172" s="51">
        <f t="shared" si="46"/>
        <v>0</v>
      </c>
      <c r="O172" s="53"/>
      <c r="S172" s="149"/>
      <c r="T172" s="149"/>
      <c r="U172" s="149"/>
      <c r="V172" s="149"/>
      <c r="W172" s="149"/>
      <c r="X172" s="149"/>
      <c r="Y172" s="149"/>
      <c r="Z172" s="149"/>
      <c r="AA172" s="149"/>
    </row>
    <row r="173" spans="1:27" s="47" customFormat="1" outlineLevel="1" x14ac:dyDescent="0.25">
      <c r="A173" s="371"/>
      <c r="B173" s="372"/>
      <c r="C173" s="372"/>
      <c r="D173" s="372"/>
      <c r="E173" s="374"/>
      <c r="F173" s="52" t="s">
        <v>9</v>
      </c>
      <c r="G173" s="53">
        <f>SUM(H173:H173,N173:O173)</f>
        <v>0</v>
      </c>
      <c r="H173" s="53"/>
      <c r="I173" s="53"/>
      <c r="J173" s="155"/>
      <c r="K173" s="155">
        <f t="shared" si="52"/>
        <v>0</v>
      </c>
      <c r="L173" s="53"/>
      <c r="M173" s="53"/>
      <c r="N173" s="51">
        <f t="shared" si="46"/>
        <v>0</v>
      </c>
      <c r="O173" s="53"/>
      <c r="S173" s="149"/>
      <c r="T173" s="149"/>
      <c r="U173" s="149"/>
      <c r="V173" s="149"/>
      <c r="W173" s="149"/>
      <c r="X173" s="149"/>
      <c r="Y173" s="149"/>
      <c r="Z173" s="149"/>
      <c r="AA173" s="149"/>
    </row>
    <row r="174" spans="1:27" s="47" customFormat="1" outlineLevel="1" x14ac:dyDescent="0.25">
      <c r="A174" s="371"/>
      <c r="B174" s="372"/>
      <c r="C174" s="372"/>
      <c r="D174" s="372"/>
      <c r="E174" s="374"/>
      <c r="F174" s="52" t="s">
        <v>10</v>
      </c>
      <c r="G174" s="53">
        <f>SUM(H174:H174,N174:O174)</f>
        <v>9400</v>
      </c>
      <c r="H174" s="53"/>
      <c r="I174" s="53">
        <v>9400</v>
      </c>
      <c r="J174" s="155">
        <f>I174</f>
        <v>9400</v>
      </c>
      <c r="K174" s="155">
        <f t="shared" si="52"/>
        <v>0</v>
      </c>
      <c r="L174" s="53"/>
      <c r="M174" s="53"/>
      <c r="N174" s="51">
        <f t="shared" si="46"/>
        <v>9400</v>
      </c>
      <c r="O174" s="53"/>
      <c r="S174" s="149"/>
      <c r="T174" s="149"/>
      <c r="U174" s="149"/>
      <c r="V174" s="149"/>
      <c r="W174" s="149"/>
      <c r="X174" s="149"/>
      <c r="Y174" s="149"/>
      <c r="Z174" s="149"/>
      <c r="AA174" s="149"/>
    </row>
    <row r="175" spans="1:27" s="47" customFormat="1" outlineLevel="1" x14ac:dyDescent="0.25">
      <c r="A175" s="371"/>
      <c r="B175" s="372"/>
      <c r="C175" s="372"/>
      <c r="D175" s="372"/>
      <c r="E175" s="374"/>
      <c r="F175" s="52" t="s">
        <v>11</v>
      </c>
      <c r="G175" s="53">
        <f>SUM(H175:H175,N175:O175)</f>
        <v>0</v>
      </c>
      <c r="H175" s="53"/>
      <c r="I175" s="53"/>
      <c r="J175" s="155"/>
      <c r="K175" s="155">
        <f t="shared" si="52"/>
        <v>0</v>
      </c>
      <c r="L175" s="53"/>
      <c r="M175" s="53"/>
      <c r="N175" s="51">
        <f t="shared" si="46"/>
        <v>0</v>
      </c>
      <c r="O175" s="53"/>
      <c r="S175" s="149"/>
      <c r="T175" s="149"/>
      <c r="U175" s="149"/>
      <c r="V175" s="149"/>
      <c r="W175" s="149"/>
      <c r="X175" s="149"/>
      <c r="Y175" s="149"/>
      <c r="Z175" s="149"/>
      <c r="AA175" s="149"/>
    </row>
    <row r="176" spans="1:27" s="47" customFormat="1" outlineLevel="1" x14ac:dyDescent="0.25">
      <c r="A176" s="371" t="s">
        <v>87</v>
      </c>
      <c r="B176" s="372" t="s">
        <v>107</v>
      </c>
      <c r="C176" s="372" t="s">
        <v>185</v>
      </c>
      <c r="D176" s="372" t="s">
        <v>29</v>
      </c>
      <c r="E176" s="373" t="s">
        <v>108</v>
      </c>
      <c r="F176" s="50" t="s">
        <v>7</v>
      </c>
      <c r="G176" s="54">
        <f>SUM(G177:G180)</f>
        <v>242472.14252874997</v>
      </c>
      <c r="H176" s="54">
        <f>SUM(H177:H180)</f>
        <v>0</v>
      </c>
      <c r="I176" s="54">
        <f>SUM(I177:I180)</f>
        <v>0</v>
      </c>
      <c r="J176" s="156"/>
      <c r="K176" s="154">
        <f>I176-J176</f>
        <v>0</v>
      </c>
      <c r="L176" s="54">
        <f>SUM(L177:L180)</f>
        <v>75592.419999999984</v>
      </c>
      <c r="M176" s="54">
        <f>SUM(M177:M180)</f>
        <v>79372.042528749997</v>
      </c>
      <c r="N176" s="51">
        <f t="shared" si="46"/>
        <v>154964.46252874998</v>
      </c>
      <c r="O176" s="54">
        <f>SUM(O177:O180)</f>
        <v>87507.68</v>
      </c>
      <c r="S176" s="149"/>
      <c r="T176" s="149"/>
      <c r="U176" s="149"/>
      <c r="V176" s="149"/>
      <c r="W176" s="149"/>
      <c r="X176" s="149"/>
      <c r="Y176" s="149"/>
      <c r="Z176" s="149"/>
      <c r="AA176" s="149"/>
    </row>
    <row r="177" spans="1:27" s="47" customFormat="1" outlineLevel="1" x14ac:dyDescent="0.25">
      <c r="A177" s="371"/>
      <c r="B177" s="372"/>
      <c r="C177" s="372"/>
      <c r="D177" s="372"/>
      <c r="E177" s="373"/>
      <c r="F177" s="52" t="s">
        <v>8</v>
      </c>
      <c r="G177" s="53">
        <f>SUM(H177:H177,N177:O177)</f>
        <v>0</v>
      </c>
      <c r="H177" s="55"/>
      <c r="I177" s="55"/>
      <c r="J177" s="157"/>
      <c r="K177" s="155">
        <f t="shared" si="52"/>
        <v>0</v>
      </c>
      <c r="L177" s="55"/>
      <c r="M177" s="55"/>
      <c r="N177" s="51">
        <f t="shared" si="46"/>
        <v>0</v>
      </c>
      <c r="O177" s="55"/>
      <c r="S177" s="149"/>
      <c r="T177" s="149"/>
      <c r="U177" s="149"/>
      <c r="V177" s="149"/>
      <c r="W177" s="149"/>
      <c r="X177" s="149"/>
      <c r="Y177" s="149"/>
      <c r="Z177" s="149"/>
      <c r="AA177" s="149"/>
    </row>
    <row r="178" spans="1:27" s="47" customFormat="1" outlineLevel="1" x14ac:dyDescent="0.25">
      <c r="A178" s="371"/>
      <c r="B178" s="372"/>
      <c r="C178" s="372"/>
      <c r="D178" s="372"/>
      <c r="E178" s="373"/>
      <c r="F178" s="52" t="s">
        <v>9</v>
      </c>
      <c r="G178" s="53">
        <f>SUM(H178:H178,N178:O178)</f>
        <v>242472.14252874997</v>
      </c>
      <c r="H178" s="55"/>
      <c r="I178" s="55"/>
      <c r="J178" s="157"/>
      <c r="K178" s="155">
        <f t="shared" si="52"/>
        <v>0</v>
      </c>
      <c r="L178" s="55">
        <f>36874.35+77436.14-38718.07</f>
        <v>75592.419999999984</v>
      </c>
      <c r="M178" s="55">
        <f>40653.97252875+38718.07</f>
        <v>79372.042528749997</v>
      </c>
      <c r="N178" s="51">
        <f t="shared" si="46"/>
        <v>154964.46252874998</v>
      </c>
      <c r="O178" s="55">
        <v>87507.68</v>
      </c>
      <c r="S178" s="149"/>
      <c r="T178" s="149"/>
      <c r="U178" s="149"/>
      <c r="V178" s="149"/>
      <c r="W178" s="149"/>
      <c r="X178" s="149"/>
      <c r="Y178" s="149"/>
      <c r="Z178" s="149"/>
      <c r="AA178" s="149"/>
    </row>
    <row r="179" spans="1:27" s="47" customFormat="1" outlineLevel="1" x14ac:dyDescent="0.25">
      <c r="A179" s="371"/>
      <c r="B179" s="372"/>
      <c r="C179" s="372"/>
      <c r="D179" s="372"/>
      <c r="E179" s="373"/>
      <c r="F179" s="52" t="s">
        <v>10</v>
      </c>
      <c r="G179" s="53">
        <f>SUM(H179:H179,N179:O179)</f>
        <v>0</v>
      </c>
      <c r="H179" s="56"/>
      <c r="I179" s="56"/>
      <c r="J179" s="158"/>
      <c r="K179" s="155">
        <f t="shared" si="52"/>
        <v>0</v>
      </c>
      <c r="L179" s="56"/>
      <c r="M179" s="56"/>
      <c r="N179" s="51">
        <f t="shared" si="46"/>
        <v>0</v>
      </c>
      <c r="O179" s="56"/>
      <c r="S179" s="149"/>
      <c r="T179" s="149"/>
      <c r="U179" s="149"/>
      <c r="V179" s="149"/>
      <c r="W179" s="149"/>
      <c r="X179" s="149"/>
      <c r="Y179" s="149"/>
      <c r="Z179" s="149"/>
      <c r="AA179" s="149"/>
    </row>
    <row r="180" spans="1:27" s="47" customFormat="1" outlineLevel="1" x14ac:dyDescent="0.25">
      <c r="A180" s="371"/>
      <c r="B180" s="372"/>
      <c r="C180" s="372"/>
      <c r="D180" s="372"/>
      <c r="E180" s="373"/>
      <c r="F180" s="52" t="s">
        <v>11</v>
      </c>
      <c r="G180" s="53">
        <f>SUM(H180:H180,N180:O180)</f>
        <v>0</v>
      </c>
      <c r="H180" s="55"/>
      <c r="I180" s="55"/>
      <c r="J180" s="157"/>
      <c r="K180" s="155">
        <f t="shared" si="52"/>
        <v>0</v>
      </c>
      <c r="L180" s="55"/>
      <c r="M180" s="55"/>
      <c r="N180" s="51">
        <f t="shared" si="46"/>
        <v>0</v>
      </c>
      <c r="O180" s="55"/>
      <c r="S180" s="149"/>
      <c r="T180" s="149"/>
      <c r="U180" s="149"/>
      <c r="V180" s="149"/>
      <c r="W180" s="149"/>
      <c r="X180" s="149"/>
      <c r="Y180" s="149"/>
      <c r="Z180" s="149"/>
      <c r="AA180" s="149"/>
    </row>
    <row r="181" spans="1:27" s="47" customFormat="1" outlineLevel="1" x14ac:dyDescent="0.25">
      <c r="A181" s="371" t="s">
        <v>88</v>
      </c>
      <c r="B181" s="372" t="s">
        <v>154</v>
      </c>
      <c r="C181" s="372" t="s">
        <v>175</v>
      </c>
      <c r="D181" s="372" t="s">
        <v>109</v>
      </c>
      <c r="E181" s="373" t="s">
        <v>50</v>
      </c>
      <c r="F181" s="50" t="s">
        <v>7</v>
      </c>
      <c r="G181" s="51">
        <f>SUM(G182:G185)</f>
        <v>64488.710000000006</v>
      </c>
      <c r="H181" s="51">
        <f>SUM(H182:H185)</f>
        <v>11960.390000000001</v>
      </c>
      <c r="I181" s="51">
        <f>SUM(I182:I185)</f>
        <v>0</v>
      </c>
      <c r="J181" s="154"/>
      <c r="K181" s="154">
        <f>I181-J181</f>
        <v>0</v>
      </c>
      <c r="L181" s="51">
        <f>SUM(L182:L185)</f>
        <v>26264.16</v>
      </c>
      <c r="M181" s="51">
        <f>SUM(M182:M185)</f>
        <v>26264.16</v>
      </c>
      <c r="N181" s="51">
        <f t="shared" si="46"/>
        <v>52528.32</v>
      </c>
      <c r="O181" s="51">
        <f>SUM(O182:O185)</f>
        <v>0</v>
      </c>
      <c r="S181" s="149"/>
      <c r="T181" s="149"/>
      <c r="U181" s="149"/>
      <c r="V181" s="149"/>
      <c r="W181" s="149"/>
      <c r="X181" s="149"/>
      <c r="Y181" s="149"/>
      <c r="Z181" s="149"/>
      <c r="AA181" s="149"/>
    </row>
    <row r="182" spans="1:27" s="47" customFormat="1" outlineLevel="1" x14ac:dyDescent="0.25">
      <c r="A182" s="371"/>
      <c r="B182" s="372"/>
      <c r="C182" s="372"/>
      <c r="D182" s="372"/>
      <c r="E182" s="373"/>
      <c r="F182" s="52" t="s">
        <v>8</v>
      </c>
      <c r="G182" s="53">
        <f>SUM(H182:H182,N182:O182)</f>
        <v>0</v>
      </c>
      <c r="H182" s="56"/>
      <c r="I182" s="56"/>
      <c r="J182" s="158"/>
      <c r="K182" s="155">
        <f t="shared" si="52"/>
        <v>0</v>
      </c>
      <c r="L182" s="56"/>
      <c r="M182" s="56"/>
      <c r="N182" s="51">
        <f t="shared" si="46"/>
        <v>0</v>
      </c>
      <c r="O182" s="56"/>
      <c r="S182" s="149"/>
      <c r="T182" s="149"/>
      <c r="U182" s="149"/>
      <c r="V182" s="149"/>
      <c r="W182" s="149"/>
      <c r="X182" s="149"/>
      <c r="Y182" s="149"/>
      <c r="Z182" s="149"/>
      <c r="AA182" s="149"/>
    </row>
    <row r="183" spans="1:27" s="47" customFormat="1" outlineLevel="1" x14ac:dyDescent="0.25">
      <c r="A183" s="371"/>
      <c r="B183" s="372"/>
      <c r="C183" s="372"/>
      <c r="D183" s="372"/>
      <c r="E183" s="373"/>
      <c r="F183" s="52" t="s">
        <v>9</v>
      </c>
      <c r="G183" s="53">
        <f>SUM(H183:H183,N183:O183)</f>
        <v>64423.831680000003</v>
      </c>
      <c r="H183" s="56">
        <v>11948.04</v>
      </c>
      <c r="I183" s="56"/>
      <c r="J183" s="158"/>
      <c r="K183" s="155">
        <f t="shared" si="52"/>
        <v>0</v>
      </c>
      <c r="L183" s="56">
        <f>$H183*2*109.8/100</f>
        <v>26237.895840000001</v>
      </c>
      <c r="M183" s="56">
        <f>$H183*2*109.8/100</f>
        <v>26237.895840000001</v>
      </c>
      <c r="N183" s="51">
        <f t="shared" si="46"/>
        <v>52475.791680000002</v>
      </c>
      <c r="O183" s="56"/>
      <c r="S183" s="149"/>
      <c r="T183" s="149"/>
      <c r="U183" s="149"/>
      <c r="V183" s="149"/>
      <c r="W183" s="149"/>
      <c r="X183" s="149"/>
      <c r="Y183" s="149"/>
      <c r="Z183" s="149"/>
      <c r="AA183" s="149"/>
    </row>
    <row r="184" spans="1:27" s="47" customFormat="1" outlineLevel="1" x14ac:dyDescent="0.25">
      <c r="A184" s="371"/>
      <c r="B184" s="372"/>
      <c r="C184" s="372"/>
      <c r="D184" s="372"/>
      <c r="E184" s="373"/>
      <c r="F184" s="52" t="s">
        <v>10</v>
      </c>
      <c r="G184" s="53">
        <f>SUM(H184:H184,N184:O184)</f>
        <v>64.878320000000002</v>
      </c>
      <c r="H184" s="56">
        <v>12.35</v>
      </c>
      <c r="I184" s="56"/>
      <c r="J184" s="158"/>
      <c r="K184" s="155">
        <f t="shared" si="52"/>
        <v>0</v>
      </c>
      <c r="L184" s="56">
        <f>$L183*0.1/99.9</f>
        <v>26.26416</v>
      </c>
      <c r="M184" s="56">
        <f>$L183*0.1/99.9</f>
        <v>26.26416</v>
      </c>
      <c r="N184" s="51">
        <f t="shared" si="46"/>
        <v>52.528320000000001</v>
      </c>
      <c r="O184" s="56"/>
      <c r="S184" s="149"/>
      <c r="T184" s="149"/>
      <c r="U184" s="149"/>
      <c r="V184" s="149"/>
      <c r="W184" s="149"/>
      <c r="X184" s="149"/>
      <c r="Y184" s="149"/>
      <c r="Z184" s="149"/>
      <c r="AA184" s="149"/>
    </row>
    <row r="185" spans="1:27" s="47" customFormat="1" outlineLevel="1" x14ac:dyDescent="0.25">
      <c r="A185" s="371"/>
      <c r="B185" s="372"/>
      <c r="C185" s="372"/>
      <c r="D185" s="372"/>
      <c r="E185" s="373"/>
      <c r="F185" s="52" t="s">
        <v>11</v>
      </c>
      <c r="G185" s="53">
        <f>SUM(H185:H185,N185:O185)</f>
        <v>0</v>
      </c>
      <c r="H185" s="56"/>
      <c r="I185" s="56"/>
      <c r="J185" s="158"/>
      <c r="K185" s="155">
        <f t="shared" si="52"/>
        <v>0</v>
      </c>
      <c r="L185" s="56"/>
      <c r="M185" s="56"/>
      <c r="N185" s="51">
        <f t="shared" si="46"/>
        <v>0</v>
      </c>
      <c r="O185" s="56"/>
      <c r="S185" s="149"/>
      <c r="T185" s="149"/>
      <c r="U185" s="149"/>
      <c r="V185" s="149"/>
      <c r="W185" s="149"/>
      <c r="X185" s="149"/>
      <c r="Y185" s="149"/>
      <c r="Z185" s="149"/>
      <c r="AA185" s="149"/>
    </row>
    <row r="186" spans="1:27" s="75" customFormat="1" ht="18.75" x14ac:dyDescent="0.25">
      <c r="A186" s="381" t="s">
        <v>41</v>
      </c>
      <c r="B186" s="382" t="s">
        <v>42</v>
      </c>
      <c r="C186" s="381"/>
      <c r="D186" s="392"/>
      <c r="E186" s="392"/>
      <c r="F186" s="65" t="s">
        <v>7</v>
      </c>
      <c r="G186" s="66">
        <f t="shared" ref="G186:M186" si="53">SUM(G187:G190)</f>
        <v>344034.37323999999</v>
      </c>
      <c r="H186" s="66">
        <f t="shared" si="53"/>
        <v>0</v>
      </c>
      <c r="I186" s="66">
        <f t="shared" si="53"/>
        <v>51121.038960000005</v>
      </c>
      <c r="J186" s="124">
        <f>SUM(J187:J190)</f>
        <v>22612.838960000001</v>
      </c>
      <c r="K186" s="124">
        <f>I186-J186</f>
        <v>28508.200000000004</v>
      </c>
      <c r="L186" s="66">
        <f t="shared" si="53"/>
        <v>174605.28644999999</v>
      </c>
      <c r="M186" s="66">
        <f t="shared" si="53"/>
        <v>118308.04783</v>
      </c>
      <c r="N186" s="66">
        <f t="shared" si="46"/>
        <v>344034.37323999999</v>
      </c>
      <c r="O186" s="66">
        <f>SUM(O187:O190)</f>
        <v>0</v>
      </c>
      <c r="P186" s="74">
        <f>G186/G10*100</f>
        <v>5.6455645876071143</v>
      </c>
      <c r="Q186" s="74"/>
      <c r="S186" s="159"/>
      <c r="T186" s="159"/>
      <c r="U186" s="159"/>
      <c r="V186" s="159"/>
      <c r="W186" s="159"/>
      <c r="X186" s="159"/>
      <c r="Y186" s="159"/>
      <c r="Z186" s="159"/>
      <c r="AA186" s="159"/>
    </row>
    <row r="187" spans="1:27" s="75" customFormat="1" ht="18.75" x14ac:dyDescent="0.25">
      <c r="A187" s="381"/>
      <c r="B187" s="382"/>
      <c r="C187" s="381"/>
      <c r="D187" s="392"/>
      <c r="E187" s="392"/>
      <c r="F187" s="69" t="s">
        <v>8</v>
      </c>
      <c r="G187" s="66">
        <f>SUM(H187:H187,N187:O187)</f>
        <v>0</v>
      </c>
      <c r="H187" s="73">
        <f>H192+H197+H202</f>
        <v>0</v>
      </c>
      <c r="I187" s="73">
        <f t="shared" ref="I187:M187" si="54">I192+I197+I202</f>
        <v>0</v>
      </c>
      <c r="J187" s="73">
        <f t="shared" si="54"/>
        <v>0</v>
      </c>
      <c r="K187" s="73">
        <f t="shared" si="54"/>
        <v>0</v>
      </c>
      <c r="L187" s="73">
        <f t="shared" si="54"/>
        <v>0</v>
      </c>
      <c r="M187" s="73">
        <f t="shared" si="54"/>
        <v>0</v>
      </c>
      <c r="N187" s="66">
        <f t="shared" si="46"/>
        <v>0</v>
      </c>
      <c r="O187" s="73">
        <f t="shared" ref="O187:O190" si="55">O192+O197+O202</f>
        <v>0</v>
      </c>
      <c r="P187" s="74"/>
      <c r="Q187" s="74"/>
      <c r="S187" s="159"/>
      <c r="T187" s="159"/>
      <c r="U187" s="159"/>
      <c r="V187" s="159"/>
      <c r="W187" s="159"/>
      <c r="X187" s="159"/>
      <c r="Y187" s="159"/>
      <c r="Z187" s="159"/>
      <c r="AA187" s="159"/>
    </row>
    <row r="188" spans="1:27" s="75" customFormat="1" ht="18.75" x14ac:dyDescent="0.25">
      <c r="A188" s="381"/>
      <c r="B188" s="382"/>
      <c r="C188" s="381"/>
      <c r="D188" s="392"/>
      <c r="E188" s="392"/>
      <c r="F188" s="69" t="s">
        <v>9</v>
      </c>
      <c r="G188" s="66">
        <f>SUM(H188:H188,N188:O188)</f>
        <v>0</v>
      </c>
      <c r="H188" s="73">
        <f t="shared" ref="H188:M190" si="56">H193+H198+H203</f>
        <v>0</v>
      </c>
      <c r="I188" s="73">
        <f t="shared" si="56"/>
        <v>0</v>
      </c>
      <c r="J188" s="73">
        <f t="shared" si="56"/>
        <v>0</v>
      </c>
      <c r="K188" s="73">
        <f t="shared" si="56"/>
        <v>0</v>
      </c>
      <c r="L188" s="73">
        <f t="shared" si="56"/>
        <v>0</v>
      </c>
      <c r="M188" s="73">
        <f t="shared" si="56"/>
        <v>0</v>
      </c>
      <c r="N188" s="66">
        <f t="shared" si="46"/>
        <v>0</v>
      </c>
      <c r="O188" s="73">
        <f t="shared" si="55"/>
        <v>0</v>
      </c>
      <c r="P188" s="74"/>
      <c r="Q188" s="74"/>
      <c r="S188" s="159"/>
      <c r="T188" s="159"/>
      <c r="U188" s="159"/>
      <c r="V188" s="159"/>
      <c r="W188" s="159"/>
      <c r="X188" s="159"/>
      <c r="Y188" s="159"/>
      <c r="Z188" s="159"/>
      <c r="AA188" s="159"/>
    </row>
    <row r="189" spans="1:27" s="75" customFormat="1" ht="18.75" x14ac:dyDescent="0.25">
      <c r="A189" s="381"/>
      <c r="B189" s="382"/>
      <c r="C189" s="381"/>
      <c r="D189" s="392"/>
      <c r="E189" s="392"/>
      <c r="F189" s="69" t="s">
        <v>10</v>
      </c>
      <c r="G189" s="66">
        <f>SUM(H189:H189,N189:O189)</f>
        <v>28508.2</v>
      </c>
      <c r="H189" s="73">
        <f t="shared" si="56"/>
        <v>0</v>
      </c>
      <c r="I189" s="73">
        <f t="shared" si="56"/>
        <v>28508.2</v>
      </c>
      <c r="J189" s="73">
        <f t="shared" si="56"/>
        <v>0</v>
      </c>
      <c r="K189" s="73">
        <f t="shared" si="56"/>
        <v>28508.2</v>
      </c>
      <c r="L189" s="73">
        <f t="shared" si="56"/>
        <v>0</v>
      </c>
      <c r="M189" s="73">
        <f t="shared" si="56"/>
        <v>0</v>
      </c>
      <c r="N189" s="66">
        <f t="shared" si="46"/>
        <v>28508.2</v>
      </c>
      <c r="O189" s="73">
        <f t="shared" si="55"/>
        <v>0</v>
      </c>
      <c r="P189" s="74"/>
      <c r="Q189" s="74"/>
      <c r="S189" s="159"/>
      <c r="T189" s="159"/>
      <c r="U189" s="159"/>
      <c r="V189" s="159"/>
      <c r="W189" s="159"/>
      <c r="X189" s="159"/>
      <c r="Y189" s="159"/>
      <c r="Z189" s="159"/>
      <c r="AA189" s="159"/>
    </row>
    <row r="190" spans="1:27" s="75" customFormat="1" ht="18.75" x14ac:dyDescent="0.25">
      <c r="A190" s="381"/>
      <c r="B190" s="382"/>
      <c r="C190" s="381"/>
      <c r="D190" s="392"/>
      <c r="E190" s="392"/>
      <c r="F190" s="69" t="s">
        <v>11</v>
      </c>
      <c r="G190" s="66">
        <f>SUM(H190:H190,N190:O190)</f>
        <v>315526.17323999997</v>
      </c>
      <c r="H190" s="73">
        <f t="shared" si="56"/>
        <v>0</v>
      </c>
      <c r="I190" s="73">
        <f t="shared" si="56"/>
        <v>22612.838960000001</v>
      </c>
      <c r="J190" s="73">
        <f t="shared" si="56"/>
        <v>22612.838960000001</v>
      </c>
      <c r="K190" s="73">
        <f t="shared" si="56"/>
        <v>0</v>
      </c>
      <c r="L190" s="73">
        <f t="shared" si="56"/>
        <v>174605.28644999999</v>
      </c>
      <c r="M190" s="73">
        <f t="shared" si="56"/>
        <v>118308.04783</v>
      </c>
      <c r="N190" s="66">
        <f t="shared" si="46"/>
        <v>315526.17323999997</v>
      </c>
      <c r="O190" s="73">
        <f t="shared" si="55"/>
        <v>0</v>
      </c>
      <c r="P190" s="74"/>
      <c r="Q190" s="74"/>
      <c r="S190" s="159"/>
      <c r="T190" s="159"/>
      <c r="U190" s="159"/>
      <c r="V190" s="159"/>
      <c r="W190" s="159"/>
      <c r="X190" s="159"/>
      <c r="Y190" s="159"/>
      <c r="Z190" s="159"/>
      <c r="AA190" s="159"/>
    </row>
    <row r="191" spans="1:27" s="130" customFormat="1" ht="18.75" outlineLevel="1" x14ac:dyDescent="0.25">
      <c r="A191" s="388" t="s">
        <v>239</v>
      </c>
      <c r="B191" s="378" t="s">
        <v>240</v>
      </c>
      <c r="C191" s="393" t="s">
        <v>241</v>
      </c>
      <c r="D191" s="378" t="s">
        <v>18</v>
      </c>
      <c r="E191" s="377">
        <v>2023</v>
      </c>
      <c r="F191" s="126" t="s">
        <v>7</v>
      </c>
      <c r="G191" s="160">
        <f t="shared" ref="G191:M191" si="57">SUM(G192:G195)</f>
        <v>28508.2</v>
      </c>
      <c r="H191" s="160">
        <f t="shared" si="57"/>
        <v>0</v>
      </c>
      <c r="I191" s="160">
        <f t="shared" si="57"/>
        <v>28508.2</v>
      </c>
      <c r="J191" s="161">
        <f t="shared" si="57"/>
        <v>0</v>
      </c>
      <c r="K191" s="121">
        <f>I191-J191</f>
        <v>28508.2</v>
      </c>
      <c r="L191" s="160">
        <f t="shared" si="57"/>
        <v>0</v>
      </c>
      <c r="M191" s="160">
        <f t="shared" si="57"/>
        <v>0</v>
      </c>
      <c r="N191" s="120">
        <f t="shared" si="46"/>
        <v>28508.2</v>
      </c>
      <c r="O191" s="160">
        <f>SUM(O192:O195)</f>
        <v>0</v>
      </c>
      <c r="P191" s="129"/>
      <c r="Q191" s="129"/>
      <c r="S191" s="131"/>
      <c r="T191" s="131"/>
      <c r="U191" s="131"/>
      <c r="V191" s="131"/>
      <c r="W191" s="131"/>
      <c r="X191" s="131"/>
      <c r="Y191" s="131"/>
      <c r="Z191" s="131"/>
      <c r="AA191" s="131"/>
    </row>
    <row r="192" spans="1:27" s="130" customFormat="1" ht="18.75" outlineLevel="1" x14ac:dyDescent="0.25">
      <c r="A192" s="388"/>
      <c r="B192" s="378"/>
      <c r="C192" s="393"/>
      <c r="D192" s="378"/>
      <c r="E192" s="377"/>
      <c r="F192" s="132" t="s">
        <v>8</v>
      </c>
      <c r="G192" s="133">
        <f>SUM(H192:H192,N192:O192)</f>
        <v>0</v>
      </c>
      <c r="H192" s="162"/>
      <c r="I192" s="162"/>
      <c r="J192" s="136"/>
      <c r="K192" s="136">
        <f t="shared" ref="K192:K195" si="58">I192-J192</f>
        <v>0</v>
      </c>
      <c r="L192" s="162"/>
      <c r="M192" s="162"/>
      <c r="N192" s="120">
        <f t="shared" si="46"/>
        <v>0</v>
      </c>
      <c r="O192" s="162"/>
      <c r="P192" s="129"/>
      <c r="Q192" s="129"/>
      <c r="S192" s="131"/>
      <c r="T192" s="131"/>
      <c r="U192" s="131"/>
      <c r="V192" s="131"/>
      <c r="W192" s="131"/>
      <c r="X192" s="131"/>
      <c r="Y192" s="131"/>
      <c r="Z192" s="131"/>
      <c r="AA192" s="131"/>
    </row>
    <row r="193" spans="1:27" s="130" customFormat="1" ht="18.75" outlineLevel="1" x14ac:dyDescent="0.25">
      <c r="A193" s="388"/>
      <c r="B193" s="378"/>
      <c r="C193" s="393"/>
      <c r="D193" s="378"/>
      <c r="E193" s="377"/>
      <c r="F193" s="132" t="s">
        <v>9</v>
      </c>
      <c r="G193" s="133">
        <f>SUM(H193:H193,N193:O193)</f>
        <v>0</v>
      </c>
      <c r="H193" s="162"/>
      <c r="I193" s="162"/>
      <c r="J193" s="136"/>
      <c r="K193" s="136">
        <f t="shared" si="58"/>
        <v>0</v>
      </c>
      <c r="L193" s="162"/>
      <c r="M193" s="162"/>
      <c r="N193" s="120">
        <f t="shared" si="46"/>
        <v>0</v>
      </c>
      <c r="O193" s="162"/>
      <c r="P193" s="129"/>
      <c r="Q193" s="129"/>
      <c r="S193" s="131"/>
      <c r="T193" s="131"/>
      <c r="U193" s="131"/>
      <c r="V193" s="131"/>
      <c r="W193" s="131"/>
      <c r="X193" s="131"/>
      <c r="Y193" s="131"/>
      <c r="Z193" s="131"/>
      <c r="AA193" s="131"/>
    </row>
    <row r="194" spans="1:27" s="130" customFormat="1" ht="60" outlineLevel="1" x14ac:dyDescent="0.25">
      <c r="A194" s="388"/>
      <c r="B194" s="378"/>
      <c r="C194" s="393"/>
      <c r="D194" s="378"/>
      <c r="E194" s="377"/>
      <c r="F194" s="132" t="s">
        <v>242</v>
      </c>
      <c r="G194" s="133">
        <f>SUM(H194:H194,N194:O194)</f>
        <v>28508.2</v>
      </c>
      <c r="H194" s="162"/>
      <c r="I194" s="162">
        <v>28508.2</v>
      </c>
      <c r="J194" s="136"/>
      <c r="K194" s="136">
        <f t="shared" si="58"/>
        <v>28508.2</v>
      </c>
      <c r="L194" s="162"/>
      <c r="M194" s="162"/>
      <c r="N194" s="120">
        <f t="shared" si="46"/>
        <v>28508.2</v>
      </c>
      <c r="O194" s="162"/>
      <c r="P194" s="129"/>
      <c r="Q194" s="129"/>
      <c r="S194" s="131"/>
      <c r="T194" s="131"/>
      <c r="U194" s="131"/>
      <c r="V194" s="131"/>
      <c r="W194" s="131"/>
      <c r="X194" s="131"/>
      <c r="Y194" s="131"/>
      <c r="Z194" s="131"/>
      <c r="AA194" s="131"/>
    </row>
    <row r="195" spans="1:27" s="130" customFormat="1" ht="18.75" outlineLevel="1" x14ac:dyDescent="0.25">
      <c r="A195" s="388"/>
      <c r="B195" s="378"/>
      <c r="C195" s="393"/>
      <c r="D195" s="378"/>
      <c r="E195" s="377"/>
      <c r="F195" s="132" t="s">
        <v>11</v>
      </c>
      <c r="G195" s="133">
        <f>SUM(H195:H195,N195:O195)</f>
        <v>0</v>
      </c>
      <c r="H195" s="133"/>
      <c r="I195" s="133"/>
      <c r="J195" s="136"/>
      <c r="K195" s="136">
        <f t="shared" si="58"/>
        <v>0</v>
      </c>
      <c r="L195" s="133"/>
      <c r="M195" s="133"/>
      <c r="N195" s="120">
        <f t="shared" si="46"/>
        <v>0</v>
      </c>
      <c r="O195" s="133"/>
      <c r="P195" s="129"/>
      <c r="Q195" s="129"/>
      <c r="S195" s="131"/>
      <c r="T195" s="131"/>
      <c r="U195" s="131"/>
      <c r="V195" s="131"/>
      <c r="W195" s="131"/>
      <c r="X195" s="131"/>
      <c r="Y195" s="131"/>
      <c r="Z195" s="131"/>
      <c r="AA195" s="131"/>
    </row>
    <row r="196" spans="1:27" s="130" customFormat="1" ht="18.75" outlineLevel="1" x14ac:dyDescent="0.25">
      <c r="A196" s="388" t="s">
        <v>103</v>
      </c>
      <c r="B196" s="378" t="s">
        <v>187</v>
      </c>
      <c r="C196" s="378" t="s">
        <v>45</v>
      </c>
      <c r="D196" s="378" t="s">
        <v>18</v>
      </c>
      <c r="E196" s="377" t="s">
        <v>19</v>
      </c>
      <c r="F196" s="126" t="s">
        <v>7</v>
      </c>
      <c r="G196" s="160">
        <f>SUM(G197:G200)</f>
        <v>28312.838960000001</v>
      </c>
      <c r="H196" s="160">
        <f>SUM(H197:H200)</f>
        <v>0</v>
      </c>
      <c r="I196" s="160">
        <f>SUM(I197:I200)</f>
        <v>22612.838960000001</v>
      </c>
      <c r="J196" s="121">
        <f t="shared" ref="J196:J200" si="59">I196</f>
        <v>22612.838960000001</v>
      </c>
      <c r="K196" s="121">
        <f>I196-J196</f>
        <v>0</v>
      </c>
      <c r="L196" s="160">
        <f>SUM(L197:L200)</f>
        <v>5700</v>
      </c>
      <c r="M196" s="160">
        <f>SUM(M197:M200)</f>
        <v>0</v>
      </c>
      <c r="N196" s="120">
        <f t="shared" si="46"/>
        <v>28312.838960000001</v>
      </c>
      <c r="O196" s="160">
        <f>SUM(O197:O200)</f>
        <v>0</v>
      </c>
      <c r="P196" s="129"/>
      <c r="Q196" s="129"/>
      <c r="S196" s="131"/>
      <c r="T196" s="131"/>
      <c r="U196" s="131"/>
      <c r="V196" s="131"/>
      <c r="W196" s="131"/>
      <c r="X196" s="131"/>
      <c r="Y196" s="131"/>
      <c r="Z196" s="131"/>
      <c r="AA196" s="131"/>
    </row>
    <row r="197" spans="1:27" s="130" customFormat="1" ht="18.75" outlineLevel="1" x14ac:dyDescent="0.25">
      <c r="A197" s="388"/>
      <c r="B197" s="378"/>
      <c r="C197" s="378"/>
      <c r="D197" s="378"/>
      <c r="E197" s="377"/>
      <c r="F197" s="132" t="s">
        <v>8</v>
      </c>
      <c r="G197" s="133">
        <f>SUM(H197:H197,N197:O197)</f>
        <v>0</v>
      </c>
      <c r="H197" s="162"/>
      <c r="I197" s="162"/>
      <c r="J197" s="136">
        <f t="shared" si="59"/>
        <v>0</v>
      </c>
      <c r="K197" s="136">
        <f t="shared" ref="K197:K200" si="60">I197-J197</f>
        <v>0</v>
      </c>
      <c r="L197" s="162"/>
      <c r="M197" s="162"/>
      <c r="N197" s="120">
        <f t="shared" si="46"/>
        <v>0</v>
      </c>
      <c r="O197" s="162"/>
      <c r="P197" s="129"/>
      <c r="Q197" s="129"/>
      <c r="S197" s="131"/>
      <c r="T197" s="131"/>
      <c r="U197" s="131"/>
      <c r="V197" s="131"/>
      <c r="W197" s="131"/>
      <c r="X197" s="131"/>
      <c r="Y197" s="131"/>
      <c r="Z197" s="131"/>
      <c r="AA197" s="131"/>
    </row>
    <row r="198" spans="1:27" s="130" customFormat="1" ht="18.75" outlineLevel="1" x14ac:dyDescent="0.25">
      <c r="A198" s="388"/>
      <c r="B198" s="378"/>
      <c r="C198" s="378"/>
      <c r="D198" s="378"/>
      <c r="E198" s="377"/>
      <c r="F198" s="132" t="s">
        <v>9</v>
      </c>
      <c r="G198" s="133">
        <f>SUM(H198:H198,N198:O198)</f>
        <v>0</v>
      </c>
      <c r="H198" s="162"/>
      <c r="I198" s="162"/>
      <c r="J198" s="136">
        <f t="shared" si="59"/>
        <v>0</v>
      </c>
      <c r="K198" s="136">
        <f t="shared" si="60"/>
        <v>0</v>
      </c>
      <c r="L198" s="162"/>
      <c r="M198" s="162"/>
      <c r="N198" s="120">
        <f t="shared" si="46"/>
        <v>0</v>
      </c>
      <c r="O198" s="162"/>
      <c r="P198" s="129"/>
      <c r="Q198" s="129"/>
      <c r="S198" s="131"/>
      <c r="T198" s="131"/>
      <c r="U198" s="131"/>
      <c r="V198" s="131"/>
      <c r="W198" s="131"/>
      <c r="X198" s="131"/>
      <c r="Y198" s="131"/>
      <c r="Z198" s="131"/>
      <c r="AA198" s="131"/>
    </row>
    <row r="199" spans="1:27" s="130" customFormat="1" ht="18.75" outlineLevel="1" x14ac:dyDescent="0.25">
      <c r="A199" s="388"/>
      <c r="B199" s="378"/>
      <c r="C199" s="378"/>
      <c r="D199" s="378"/>
      <c r="E199" s="377"/>
      <c r="F199" s="132" t="s">
        <v>10</v>
      </c>
      <c r="G199" s="133">
        <f>SUM(H199:H199,N199:O199)</f>
        <v>0</v>
      </c>
      <c r="H199" s="162"/>
      <c r="I199" s="162"/>
      <c r="J199" s="136">
        <f t="shared" si="59"/>
        <v>0</v>
      </c>
      <c r="K199" s="136">
        <f t="shared" si="60"/>
        <v>0</v>
      </c>
      <c r="L199" s="162"/>
      <c r="M199" s="162"/>
      <c r="N199" s="120">
        <f t="shared" si="46"/>
        <v>0</v>
      </c>
      <c r="O199" s="162"/>
      <c r="P199" s="129"/>
      <c r="Q199" s="129"/>
      <c r="S199" s="131"/>
      <c r="T199" s="131"/>
      <c r="U199" s="131"/>
      <c r="V199" s="131"/>
      <c r="W199" s="131"/>
      <c r="X199" s="131"/>
      <c r="Y199" s="131"/>
      <c r="Z199" s="131"/>
      <c r="AA199" s="131"/>
    </row>
    <row r="200" spans="1:27" s="130" customFormat="1" ht="18.75" outlineLevel="1" x14ac:dyDescent="0.25">
      <c r="A200" s="388"/>
      <c r="B200" s="378"/>
      <c r="C200" s="378"/>
      <c r="D200" s="378"/>
      <c r="E200" s="377"/>
      <c r="F200" s="132" t="s">
        <v>11</v>
      </c>
      <c r="G200" s="133">
        <f>SUM(H200:H200,N200:O200)</f>
        <v>28312.838960000001</v>
      </c>
      <c r="H200" s="133"/>
      <c r="I200" s="133">
        <v>22612.838960000001</v>
      </c>
      <c r="J200" s="136">
        <f t="shared" si="59"/>
        <v>22612.838960000001</v>
      </c>
      <c r="K200" s="136">
        <f t="shared" si="60"/>
        <v>0</v>
      </c>
      <c r="L200" s="133">
        <v>5700</v>
      </c>
      <c r="M200" s="133"/>
      <c r="N200" s="120">
        <f t="shared" si="46"/>
        <v>28312.838960000001</v>
      </c>
      <c r="O200" s="133"/>
      <c r="P200" s="129"/>
      <c r="Q200" s="129"/>
      <c r="S200" s="131"/>
      <c r="T200" s="131"/>
      <c r="U200" s="131"/>
      <c r="V200" s="131"/>
      <c r="W200" s="131"/>
      <c r="X200" s="131"/>
      <c r="Y200" s="131"/>
      <c r="Z200" s="131"/>
      <c r="AA200" s="131"/>
    </row>
    <row r="201" spans="1:27" s="130" customFormat="1" ht="18.75" outlineLevel="1" x14ac:dyDescent="0.25">
      <c r="A201" s="388" t="s">
        <v>104</v>
      </c>
      <c r="B201" s="378" t="s">
        <v>75</v>
      </c>
      <c r="C201" s="391" t="s">
        <v>145</v>
      </c>
      <c r="D201" s="378" t="s">
        <v>18</v>
      </c>
      <c r="E201" s="377" t="s">
        <v>16</v>
      </c>
      <c r="F201" s="163" t="s">
        <v>7</v>
      </c>
      <c r="G201" s="160">
        <f>SUM(G202:G205)</f>
        <v>287213.33427999995</v>
      </c>
      <c r="H201" s="160">
        <f>SUM(H202:H205)</f>
        <v>0</v>
      </c>
      <c r="I201" s="160">
        <f>SUM(I202:I205)</f>
        <v>0</v>
      </c>
      <c r="J201" s="133"/>
      <c r="K201" s="120">
        <f>I201-J201</f>
        <v>0</v>
      </c>
      <c r="L201" s="160">
        <f>SUM(L202:L205)</f>
        <v>168905.28644999999</v>
      </c>
      <c r="M201" s="160">
        <f>SUM(M202:M205)</f>
        <v>118308.04783</v>
      </c>
      <c r="N201" s="120">
        <f t="shared" si="46"/>
        <v>287213.33427999995</v>
      </c>
      <c r="O201" s="160">
        <f>SUM(O202:O205)</f>
        <v>0</v>
      </c>
      <c r="P201" s="129"/>
      <c r="Q201" s="129"/>
      <c r="S201" s="131"/>
      <c r="T201" s="131"/>
      <c r="U201" s="131"/>
      <c r="V201" s="131"/>
      <c r="W201" s="131"/>
      <c r="X201" s="131"/>
      <c r="Y201" s="131"/>
      <c r="Z201" s="131"/>
      <c r="AA201" s="131"/>
    </row>
    <row r="202" spans="1:27" s="130" customFormat="1" ht="18.75" outlineLevel="1" x14ac:dyDescent="0.25">
      <c r="A202" s="388"/>
      <c r="B202" s="378"/>
      <c r="C202" s="391"/>
      <c r="D202" s="378"/>
      <c r="E202" s="377"/>
      <c r="F202" s="164" t="s">
        <v>8</v>
      </c>
      <c r="G202" s="133">
        <f>SUM(H202:H202,N202:O202)</f>
        <v>0</v>
      </c>
      <c r="H202" s="133"/>
      <c r="I202" s="133"/>
      <c r="J202" s="133"/>
      <c r="K202" s="133">
        <f t="shared" ref="K202:K205" si="61">I202-J202</f>
        <v>0</v>
      </c>
      <c r="L202" s="133"/>
      <c r="M202" s="133"/>
      <c r="N202" s="120">
        <f t="shared" si="46"/>
        <v>0</v>
      </c>
      <c r="O202" s="133"/>
      <c r="P202" s="129"/>
      <c r="Q202" s="129"/>
      <c r="S202" s="131"/>
      <c r="T202" s="131"/>
      <c r="U202" s="131"/>
      <c r="V202" s="131"/>
      <c r="W202" s="131"/>
      <c r="X202" s="131"/>
      <c r="Y202" s="131"/>
      <c r="Z202" s="131"/>
      <c r="AA202" s="131"/>
    </row>
    <row r="203" spans="1:27" s="130" customFormat="1" ht="18.75" outlineLevel="1" x14ac:dyDescent="0.25">
      <c r="A203" s="388"/>
      <c r="B203" s="378"/>
      <c r="C203" s="391"/>
      <c r="D203" s="378"/>
      <c r="E203" s="377"/>
      <c r="F203" s="164" t="s">
        <v>9</v>
      </c>
      <c r="G203" s="133">
        <f>SUM(H203:H203,N203:O203)</f>
        <v>0</v>
      </c>
      <c r="H203" s="133"/>
      <c r="I203" s="133"/>
      <c r="J203" s="133"/>
      <c r="K203" s="133">
        <f t="shared" si="61"/>
        <v>0</v>
      </c>
      <c r="L203" s="133"/>
      <c r="M203" s="133"/>
      <c r="N203" s="120">
        <f t="shared" si="46"/>
        <v>0</v>
      </c>
      <c r="O203" s="133"/>
      <c r="P203" s="129"/>
      <c r="Q203" s="129"/>
      <c r="S203" s="131"/>
      <c r="T203" s="131"/>
      <c r="U203" s="131"/>
      <c r="V203" s="131"/>
      <c r="W203" s="131"/>
      <c r="X203" s="131"/>
      <c r="Y203" s="131"/>
      <c r="Z203" s="131"/>
      <c r="AA203" s="131"/>
    </row>
    <row r="204" spans="1:27" s="130" customFormat="1" ht="18.75" outlineLevel="1" x14ac:dyDescent="0.25">
      <c r="A204" s="388"/>
      <c r="B204" s="378"/>
      <c r="C204" s="391"/>
      <c r="D204" s="378"/>
      <c r="E204" s="377"/>
      <c r="F204" s="164" t="s">
        <v>10</v>
      </c>
      <c r="G204" s="133">
        <f>SUM(H204:H204,N204:O204)</f>
        <v>0</v>
      </c>
      <c r="H204" s="133"/>
      <c r="I204" s="133"/>
      <c r="J204" s="133"/>
      <c r="K204" s="133">
        <f t="shared" si="61"/>
        <v>0</v>
      </c>
      <c r="L204" s="133"/>
      <c r="M204" s="133"/>
      <c r="N204" s="120">
        <f t="shared" si="46"/>
        <v>0</v>
      </c>
      <c r="O204" s="133"/>
      <c r="P204" s="129"/>
      <c r="Q204" s="129"/>
      <c r="S204" s="131"/>
      <c r="T204" s="131"/>
      <c r="U204" s="131"/>
      <c r="V204" s="131"/>
      <c r="W204" s="131"/>
      <c r="X204" s="131"/>
      <c r="Y204" s="131"/>
      <c r="Z204" s="131"/>
      <c r="AA204" s="131"/>
    </row>
    <row r="205" spans="1:27" s="130" customFormat="1" ht="18.75" outlineLevel="1" x14ac:dyDescent="0.25">
      <c r="A205" s="388"/>
      <c r="B205" s="378"/>
      <c r="C205" s="391"/>
      <c r="D205" s="378"/>
      <c r="E205" s="377"/>
      <c r="F205" s="164" t="s">
        <v>11</v>
      </c>
      <c r="G205" s="133">
        <f>SUM(H205:H205,N205:O205)</f>
        <v>287213.33427999995</v>
      </c>
      <c r="H205" s="133"/>
      <c r="I205" s="133"/>
      <c r="J205" s="133"/>
      <c r="K205" s="133">
        <f t="shared" si="61"/>
        <v>0</v>
      </c>
      <c r="L205" s="31">
        <f>19960.07985+165.80943+33053.22362+23301.97208+538.52586+13566.55534+8519.90391+159.05609+25980.99511+16316.27015+304.60462+16489.45674+10355.50908+193.32457</f>
        <v>168905.28644999999</v>
      </c>
      <c r="M205" s="31">
        <f>16334.78918+10258.37663+191.51123+14109.47007+8860.85865+165.42129+13197.24706+8287.9754+154.72627+12884.75544+8091.72819+151.06257+15624.58095+9812.36025+183.18465</f>
        <v>118308.04783</v>
      </c>
      <c r="N205" s="120">
        <f t="shared" si="46"/>
        <v>287213.33427999995</v>
      </c>
      <c r="O205" s="133"/>
      <c r="P205" s="129"/>
      <c r="Q205" s="129"/>
      <c r="S205" s="131"/>
      <c r="T205" s="131"/>
      <c r="U205" s="131"/>
      <c r="V205" s="131"/>
      <c r="W205" s="131"/>
      <c r="X205" s="131"/>
      <c r="Y205" s="131"/>
      <c r="Z205" s="131"/>
      <c r="AA205" s="131"/>
    </row>
    <row r="206" spans="1:27" s="78" customFormat="1" x14ac:dyDescent="0.25">
      <c r="A206" s="390" t="s">
        <v>46</v>
      </c>
      <c r="B206" s="382" t="s">
        <v>47</v>
      </c>
      <c r="C206" s="381"/>
      <c r="D206" s="381"/>
      <c r="E206" s="381"/>
      <c r="F206" s="65" t="s">
        <v>7</v>
      </c>
      <c r="G206" s="66">
        <f t="shared" ref="G206:M206" si="62">SUM(G208:G210)</f>
        <v>281689.2285858586</v>
      </c>
      <c r="H206" s="66">
        <f t="shared" si="62"/>
        <v>17251.16</v>
      </c>
      <c r="I206" s="66">
        <f t="shared" si="62"/>
        <v>98370.91</v>
      </c>
      <c r="J206" s="124">
        <f t="shared" si="62"/>
        <v>13836.34</v>
      </c>
      <c r="K206" s="124">
        <f>I206-J206</f>
        <v>84534.57</v>
      </c>
      <c r="L206" s="66">
        <f t="shared" si="62"/>
        <v>119626.2690909091</v>
      </c>
      <c r="M206" s="66">
        <f t="shared" si="62"/>
        <v>46440.889494949501</v>
      </c>
      <c r="N206" s="66">
        <f t="shared" si="46"/>
        <v>264438.06858585862</v>
      </c>
      <c r="O206" s="66">
        <f>SUM(O208:O210)</f>
        <v>0</v>
      </c>
      <c r="P206" s="76" t="e">
        <f>G206+#REF!</f>
        <v>#REF!</v>
      </c>
      <c r="Q206" s="77" t="e">
        <f>P206/G10*100</f>
        <v>#REF!</v>
      </c>
      <c r="S206" s="165"/>
      <c r="T206" s="165"/>
      <c r="U206" s="165"/>
      <c r="V206" s="165"/>
      <c r="W206" s="165"/>
      <c r="X206" s="165"/>
      <c r="Y206" s="165"/>
      <c r="Z206" s="165"/>
      <c r="AA206" s="165"/>
    </row>
    <row r="207" spans="1:27" s="78" customFormat="1" x14ac:dyDescent="0.25">
      <c r="A207" s="390"/>
      <c r="B207" s="382"/>
      <c r="C207" s="381"/>
      <c r="D207" s="381"/>
      <c r="E207" s="381"/>
      <c r="F207" s="69" t="s">
        <v>8</v>
      </c>
      <c r="G207" s="66">
        <f>SUM(H207:H207,N207:O207)</f>
        <v>0</v>
      </c>
      <c r="H207" s="73">
        <f>H212+H222+H217+H227+H232+H237+H242</f>
        <v>0</v>
      </c>
      <c r="I207" s="73">
        <f t="shared" ref="I207:M207" si="63">I212+I222+I217+I227+I232+I237+I242</f>
        <v>0</v>
      </c>
      <c r="J207" s="73">
        <f t="shared" si="63"/>
        <v>0</v>
      </c>
      <c r="K207" s="73">
        <f t="shared" si="63"/>
        <v>0</v>
      </c>
      <c r="L207" s="73">
        <f t="shared" si="63"/>
        <v>0</v>
      </c>
      <c r="M207" s="73">
        <f t="shared" si="63"/>
        <v>0</v>
      </c>
      <c r="N207" s="66">
        <f t="shared" si="46"/>
        <v>0</v>
      </c>
      <c r="O207" s="73">
        <f t="shared" ref="O207:O210" si="64">O212+O222+O217+O227+O232+O237+O242</f>
        <v>0</v>
      </c>
      <c r="P207" s="77"/>
      <c r="Q207" s="77"/>
      <c r="S207" s="165"/>
      <c r="T207" s="165"/>
      <c r="U207" s="165"/>
      <c r="V207" s="165"/>
      <c r="W207" s="165"/>
      <c r="X207" s="165"/>
      <c r="Y207" s="165"/>
      <c r="Z207" s="165"/>
      <c r="AA207" s="165"/>
    </row>
    <row r="208" spans="1:27" s="78" customFormat="1" x14ac:dyDescent="0.25">
      <c r="A208" s="390"/>
      <c r="B208" s="382"/>
      <c r="C208" s="381"/>
      <c r="D208" s="381"/>
      <c r="E208" s="381"/>
      <c r="F208" s="69" t="s">
        <v>9</v>
      </c>
      <c r="G208" s="66">
        <f>SUM(H208:H208,N208:O208)</f>
        <v>187142.56000000003</v>
      </c>
      <c r="H208" s="73">
        <f t="shared" ref="H208:M210" si="65">H213+H223+H218+H228+H233+H238+H243</f>
        <v>0</v>
      </c>
      <c r="I208" s="73">
        <f t="shared" si="65"/>
        <v>42534.57</v>
      </c>
      <c r="J208" s="73">
        <f t="shared" si="65"/>
        <v>0</v>
      </c>
      <c r="K208" s="73">
        <f t="shared" si="65"/>
        <v>42534.57</v>
      </c>
      <c r="L208" s="73">
        <f t="shared" si="65"/>
        <v>106551.51000000001</v>
      </c>
      <c r="M208" s="73">
        <f t="shared" si="65"/>
        <v>38056.480000000003</v>
      </c>
      <c r="N208" s="66">
        <f t="shared" si="46"/>
        <v>187142.56000000003</v>
      </c>
      <c r="O208" s="73">
        <f t="shared" si="64"/>
        <v>0</v>
      </c>
      <c r="P208" s="77"/>
      <c r="Q208" s="77"/>
      <c r="S208" s="165"/>
      <c r="T208" s="165"/>
      <c r="U208" s="165"/>
      <c r="V208" s="165"/>
      <c r="W208" s="165"/>
      <c r="X208" s="165"/>
      <c r="Y208" s="165"/>
      <c r="Z208" s="165"/>
      <c r="AA208" s="165"/>
    </row>
    <row r="209" spans="1:27" s="78" customFormat="1" x14ac:dyDescent="0.25">
      <c r="A209" s="390"/>
      <c r="B209" s="382"/>
      <c r="C209" s="381"/>
      <c r="D209" s="381"/>
      <c r="E209" s="381"/>
      <c r="F209" s="69" t="s">
        <v>10</v>
      </c>
      <c r="G209" s="66">
        <f>SUM(H209:H209,N209:O209)</f>
        <v>94546.668585858584</v>
      </c>
      <c r="H209" s="73">
        <f t="shared" si="65"/>
        <v>17251.16</v>
      </c>
      <c r="I209" s="73">
        <f t="shared" si="65"/>
        <v>55836.34</v>
      </c>
      <c r="J209" s="73">
        <f t="shared" si="65"/>
        <v>13836.34</v>
      </c>
      <c r="K209" s="73">
        <f t="shared" si="65"/>
        <v>42000</v>
      </c>
      <c r="L209" s="73">
        <f t="shared" si="65"/>
        <v>13074.75909090909</v>
      </c>
      <c r="M209" s="73">
        <f t="shared" si="65"/>
        <v>8384.4094949494956</v>
      </c>
      <c r="N209" s="66">
        <f t="shared" si="46"/>
        <v>77295.508585858581</v>
      </c>
      <c r="O209" s="73">
        <f t="shared" si="64"/>
        <v>0</v>
      </c>
      <c r="P209" s="77"/>
      <c r="Q209" s="77"/>
      <c r="S209" s="165"/>
      <c r="T209" s="165"/>
      <c r="U209" s="165"/>
      <c r="V209" s="165"/>
      <c r="W209" s="165"/>
      <c r="X209" s="165"/>
      <c r="Y209" s="165"/>
      <c r="Z209" s="165"/>
      <c r="AA209" s="165"/>
    </row>
    <row r="210" spans="1:27" s="78" customFormat="1" x14ac:dyDescent="0.25">
      <c r="A210" s="390"/>
      <c r="B210" s="382"/>
      <c r="C210" s="381"/>
      <c r="D210" s="381"/>
      <c r="E210" s="381"/>
      <c r="F210" s="69" t="s">
        <v>11</v>
      </c>
      <c r="G210" s="66">
        <f>SUM(H210:H210,N210:O210)</f>
        <v>0</v>
      </c>
      <c r="H210" s="73">
        <f t="shared" si="65"/>
        <v>0</v>
      </c>
      <c r="I210" s="73">
        <f t="shared" si="65"/>
        <v>0</v>
      </c>
      <c r="J210" s="73">
        <f t="shared" si="65"/>
        <v>0</v>
      </c>
      <c r="K210" s="73">
        <f t="shared" si="65"/>
        <v>0</v>
      </c>
      <c r="L210" s="73">
        <f t="shared" si="65"/>
        <v>0</v>
      </c>
      <c r="M210" s="73">
        <f t="shared" si="65"/>
        <v>0</v>
      </c>
      <c r="N210" s="66">
        <f t="shared" si="46"/>
        <v>0</v>
      </c>
      <c r="O210" s="73">
        <f t="shared" si="64"/>
        <v>0</v>
      </c>
      <c r="P210" s="77"/>
      <c r="Q210" s="77"/>
      <c r="S210" s="165"/>
      <c r="T210" s="165"/>
      <c r="U210" s="165"/>
      <c r="V210" s="165"/>
      <c r="W210" s="165"/>
      <c r="X210" s="165"/>
      <c r="Y210" s="165"/>
      <c r="Z210" s="165"/>
      <c r="AA210" s="165"/>
    </row>
    <row r="211" spans="1:27" outlineLevel="1" x14ac:dyDescent="0.25">
      <c r="A211" s="388" t="s">
        <v>243</v>
      </c>
      <c r="B211" s="378" t="s">
        <v>244</v>
      </c>
      <c r="C211" s="378" t="s">
        <v>245</v>
      </c>
      <c r="D211" s="378" t="s">
        <v>48</v>
      </c>
      <c r="E211" s="377">
        <v>2023</v>
      </c>
      <c r="F211" s="126" t="s">
        <v>7</v>
      </c>
      <c r="G211" s="120">
        <f>SUM(G212:G215)</f>
        <v>42534.57</v>
      </c>
      <c r="H211" s="120">
        <f>SUM(H212:H215)</f>
        <v>0</v>
      </c>
      <c r="I211" s="120">
        <f>SUM(I212:I215)</f>
        <v>42534.57</v>
      </c>
      <c r="J211" s="121"/>
      <c r="K211" s="121">
        <f>I211-J211</f>
        <v>42534.57</v>
      </c>
      <c r="L211" s="120">
        <f>SUM(L212:L215)</f>
        <v>0</v>
      </c>
      <c r="M211" s="120">
        <f>SUM(M212:M215)</f>
        <v>0</v>
      </c>
      <c r="N211" s="120">
        <f t="shared" si="46"/>
        <v>42534.57</v>
      </c>
      <c r="O211" s="120">
        <f>SUM(O212:O215)</f>
        <v>0</v>
      </c>
    </row>
    <row r="212" spans="1:27" outlineLevel="1" x14ac:dyDescent="0.25">
      <c r="A212" s="388"/>
      <c r="B212" s="378"/>
      <c r="C212" s="378"/>
      <c r="D212" s="378"/>
      <c r="E212" s="377"/>
      <c r="F212" s="132" t="s">
        <v>8</v>
      </c>
      <c r="G212" s="133">
        <f>SUM(H212:H212,N212:O212)</f>
        <v>0</v>
      </c>
      <c r="H212" s="133"/>
      <c r="I212" s="133"/>
      <c r="J212" s="136"/>
      <c r="K212" s="136">
        <f t="shared" ref="K212:K215" si="66">I212-J212</f>
        <v>0</v>
      </c>
      <c r="L212" s="133"/>
      <c r="M212" s="133"/>
      <c r="N212" s="120">
        <f t="shared" si="46"/>
        <v>0</v>
      </c>
      <c r="O212" s="133"/>
    </row>
    <row r="213" spans="1:27" outlineLevel="1" x14ac:dyDescent="0.25">
      <c r="A213" s="388"/>
      <c r="B213" s="378"/>
      <c r="C213" s="378"/>
      <c r="D213" s="378"/>
      <c r="E213" s="377"/>
      <c r="F213" s="132" t="s">
        <v>9</v>
      </c>
      <c r="G213" s="133">
        <f>SUM(H213:H213,N213:O213)</f>
        <v>42534.57</v>
      </c>
      <c r="H213" s="166"/>
      <c r="I213" s="167">
        <v>42534.57</v>
      </c>
      <c r="J213" s="168"/>
      <c r="K213" s="145">
        <f t="shared" si="66"/>
        <v>42534.57</v>
      </c>
      <c r="L213" s="133"/>
      <c r="M213" s="133"/>
      <c r="N213" s="120">
        <f t="shared" si="46"/>
        <v>42534.57</v>
      </c>
      <c r="O213" s="133"/>
    </row>
    <row r="214" spans="1:27" outlineLevel="1" x14ac:dyDescent="0.25">
      <c r="A214" s="388"/>
      <c r="B214" s="378"/>
      <c r="C214" s="378"/>
      <c r="D214" s="378"/>
      <c r="E214" s="377"/>
      <c r="F214" s="132" t="s">
        <v>10</v>
      </c>
      <c r="G214" s="133">
        <f>SUM(H214:H214,N214:O214)</f>
        <v>0</v>
      </c>
      <c r="H214" s="133"/>
      <c r="I214" s="133"/>
      <c r="J214" s="136"/>
      <c r="K214" s="136">
        <f t="shared" si="66"/>
        <v>0</v>
      </c>
      <c r="L214" s="133"/>
      <c r="M214" s="133"/>
      <c r="N214" s="120">
        <f t="shared" si="46"/>
        <v>0</v>
      </c>
      <c r="O214" s="133"/>
    </row>
    <row r="215" spans="1:27" outlineLevel="1" x14ac:dyDescent="0.25">
      <c r="A215" s="388"/>
      <c r="B215" s="378"/>
      <c r="C215" s="378"/>
      <c r="D215" s="378"/>
      <c r="E215" s="377"/>
      <c r="F215" s="132" t="s">
        <v>11</v>
      </c>
      <c r="G215" s="133">
        <f>SUM(H215:H215,N215:O215)</f>
        <v>0</v>
      </c>
      <c r="H215" s="133"/>
      <c r="I215" s="133"/>
      <c r="J215" s="136"/>
      <c r="K215" s="136">
        <f t="shared" si="66"/>
        <v>0</v>
      </c>
      <c r="L215" s="133"/>
      <c r="M215" s="133"/>
      <c r="N215" s="120">
        <f t="shared" si="46"/>
        <v>0</v>
      </c>
      <c r="O215" s="133"/>
    </row>
    <row r="216" spans="1:27" outlineLevel="1" x14ac:dyDescent="0.25">
      <c r="A216" s="388" t="s">
        <v>105</v>
      </c>
      <c r="B216" s="378" t="s">
        <v>171</v>
      </c>
      <c r="C216" s="378" t="s">
        <v>189</v>
      </c>
      <c r="D216" s="378" t="s">
        <v>49</v>
      </c>
      <c r="E216" s="377" t="s">
        <v>63</v>
      </c>
      <c r="F216" s="126" t="s">
        <v>7</v>
      </c>
      <c r="G216" s="120">
        <f t="shared" ref="G216:M216" si="67">SUM(G217:G220)</f>
        <v>6750</v>
      </c>
      <c r="H216" s="120">
        <f t="shared" si="67"/>
        <v>0</v>
      </c>
      <c r="I216" s="120">
        <f t="shared" si="67"/>
        <v>6750</v>
      </c>
      <c r="J216" s="121">
        <f>SUM(J217:J220)</f>
        <v>0</v>
      </c>
      <c r="K216" s="121">
        <f>I216-J216</f>
        <v>6750</v>
      </c>
      <c r="L216" s="120">
        <f t="shared" si="67"/>
        <v>0</v>
      </c>
      <c r="M216" s="120">
        <f t="shared" si="67"/>
        <v>0</v>
      </c>
      <c r="N216" s="120">
        <f t="shared" si="46"/>
        <v>6750</v>
      </c>
      <c r="O216" s="160">
        <f>SUM(O217:O220)</f>
        <v>0</v>
      </c>
    </row>
    <row r="217" spans="1:27" outlineLevel="1" x14ac:dyDescent="0.25">
      <c r="A217" s="388"/>
      <c r="B217" s="378"/>
      <c r="C217" s="389"/>
      <c r="D217" s="378"/>
      <c r="E217" s="377"/>
      <c r="F217" s="132" t="s">
        <v>8</v>
      </c>
      <c r="G217" s="133">
        <f>SUM(H217:H217,N217:O217)</f>
        <v>0</v>
      </c>
      <c r="H217" s="133"/>
      <c r="I217" s="133"/>
      <c r="J217" s="136"/>
      <c r="K217" s="136">
        <f t="shared" ref="K217:K220" si="68">I217-J217</f>
        <v>0</v>
      </c>
      <c r="L217" s="133"/>
      <c r="M217" s="133"/>
      <c r="N217" s="120">
        <f t="shared" si="46"/>
        <v>0</v>
      </c>
      <c r="O217" s="162"/>
    </row>
    <row r="218" spans="1:27" outlineLevel="1" x14ac:dyDescent="0.25">
      <c r="A218" s="388"/>
      <c r="B218" s="378"/>
      <c r="C218" s="389"/>
      <c r="D218" s="378"/>
      <c r="E218" s="377"/>
      <c r="F218" s="132" t="s">
        <v>9</v>
      </c>
      <c r="G218" s="133">
        <f>SUM(H218:H218,N218:O218)</f>
        <v>0</v>
      </c>
      <c r="H218" s="133"/>
      <c r="I218" s="162"/>
      <c r="J218" s="136"/>
      <c r="K218" s="136">
        <f t="shared" si="68"/>
        <v>0</v>
      </c>
      <c r="L218" s="162"/>
      <c r="M218" s="162"/>
      <c r="N218" s="120">
        <f t="shared" si="46"/>
        <v>0</v>
      </c>
      <c r="O218" s="162"/>
    </row>
    <row r="219" spans="1:27" outlineLevel="1" x14ac:dyDescent="0.25">
      <c r="A219" s="388"/>
      <c r="B219" s="378"/>
      <c r="C219" s="389"/>
      <c r="D219" s="378"/>
      <c r="E219" s="377"/>
      <c r="F219" s="132" t="s">
        <v>10</v>
      </c>
      <c r="G219" s="133">
        <f>SUM(H219:H219,N219:O219)</f>
        <v>6750</v>
      </c>
      <c r="H219" s="133"/>
      <c r="I219" s="162">
        <f>27000/4</f>
        <v>6750</v>
      </c>
      <c r="J219" s="136"/>
      <c r="K219" s="136">
        <f t="shared" si="68"/>
        <v>6750</v>
      </c>
      <c r="L219" s="162"/>
      <c r="M219" s="162"/>
      <c r="N219" s="120">
        <f t="shared" si="46"/>
        <v>6750</v>
      </c>
      <c r="O219" s="162"/>
    </row>
    <row r="220" spans="1:27" outlineLevel="1" x14ac:dyDescent="0.25">
      <c r="A220" s="388"/>
      <c r="B220" s="378"/>
      <c r="C220" s="389"/>
      <c r="D220" s="378"/>
      <c r="E220" s="377"/>
      <c r="F220" s="132" t="s">
        <v>11</v>
      </c>
      <c r="G220" s="133">
        <f>SUM(H220:H220,N220:O220)</f>
        <v>0</v>
      </c>
      <c r="H220" s="162"/>
      <c r="I220" s="162"/>
      <c r="J220" s="136"/>
      <c r="K220" s="136">
        <f t="shared" si="68"/>
        <v>0</v>
      </c>
      <c r="L220" s="162"/>
      <c r="M220" s="162"/>
      <c r="N220" s="120">
        <f t="shared" si="46"/>
        <v>0</v>
      </c>
      <c r="O220" s="162"/>
    </row>
    <row r="221" spans="1:27" s="170" customFormat="1" outlineLevel="1" x14ac:dyDescent="0.25">
      <c r="A221" s="388" t="s">
        <v>106</v>
      </c>
      <c r="B221" s="378" t="s">
        <v>170</v>
      </c>
      <c r="C221" s="378" t="s">
        <v>190</v>
      </c>
      <c r="D221" s="378" t="s">
        <v>48</v>
      </c>
      <c r="E221" s="377" t="s">
        <v>50</v>
      </c>
      <c r="F221" s="126" t="s">
        <v>7</v>
      </c>
      <c r="G221" s="120">
        <f>SUM(G222:G225)</f>
        <v>91936.858585858587</v>
      </c>
      <c r="H221" s="120">
        <f>SUM(H222:H225)</f>
        <v>0</v>
      </c>
      <c r="I221" s="120">
        <f>SUM(I222:I225)</f>
        <v>7520</v>
      </c>
      <c r="J221" s="121">
        <f>SUM(J222:J225)</f>
        <v>7520</v>
      </c>
      <c r="K221" s="121">
        <f>I221-J221</f>
        <v>0</v>
      </c>
      <c r="L221" s="120">
        <f>SUM(L222:L225)</f>
        <v>56277.909090909088</v>
      </c>
      <c r="M221" s="120">
        <f>SUM(M222:M225)</f>
        <v>28138.949494949495</v>
      </c>
      <c r="N221" s="120">
        <f t="shared" si="46"/>
        <v>91936.858585858587</v>
      </c>
      <c r="O221" s="162"/>
      <c r="P221" s="169"/>
      <c r="Q221" s="169"/>
      <c r="S221" s="171"/>
      <c r="T221" s="171"/>
      <c r="U221" s="171"/>
      <c r="V221" s="171"/>
      <c r="W221" s="171"/>
      <c r="X221" s="171"/>
      <c r="Y221" s="171"/>
      <c r="Z221" s="171"/>
      <c r="AA221" s="171"/>
    </row>
    <row r="222" spans="1:27" s="170" customFormat="1" outlineLevel="1" x14ac:dyDescent="0.25">
      <c r="A222" s="388"/>
      <c r="B222" s="378"/>
      <c r="C222" s="378"/>
      <c r="D222" s="378"/>
      <c r="E222" s="377"/>
      <c r="F222" s="132" t="s">
        <v>8</v>
      </c>
      <c r="G222" s="133">
        <f>SUM(H222:H222,N222:O222)</f>
        <v>0</v>
      </c>
      <c r="H222" s="162"/>
      <c r="I222" s="162"/>
      <c r="J222" s="136"/>
      <c r="K222" s="136">
        <f t="shared" ref="K222:K225" si="69">I222-J222</f>
        <v>0</v>
      </c>
      <c r="L222" s="162"/>
      <c r="M222" s="162"/>
      <c r="N222" s="120">
        <f t="shared" si="46"/>
        <v>0</v>
      </c>
      <c r="O222" s="162"/>
      <c r="P222" s="169"/>
      <c r="Q222" s="169"/>
      <c r="S222" s="171"/>
      <c r="T222" s="171"/>
      <c r="U222" s="171"/>
      <c r="V222" s="171"/>
      <c r="W222" s="171"/>
      <c r="X222" s="171"/>
      <c r="Y222" s="171"/>
      <c r="Z222" s="171"/>
      <c r="AA222" s="171"/>
    </row>
    <row r="223" spans="1:27" s="170" customFormat="1" outlineLevel="1" x14ac:dyDescent="0.25">
      <c r="A223" s="388"/>
      <c r="B223" s="378"/>
      <c r="C223" s="378"/>
      <c r="D223" s="378"/>
      <c r="E223" s="377"/>
      <c r="F223" s="132" t="s">
        <v>9</v>
      </c>
      <c r="G223" s="133">
        <f>SUM(H223:H223,N223:O223)</f>
        <v>83572.69</v>
      </c>
      <c r="H223" s="162"/>
      <c r="I223" s="162"/>
      <c r="J223" s="136"/>
      <c r="K223" s="136">
        <f t="shared" si="69"/>
        <v>0</v>
      </c>
      <c r="L223" s="162">
        <v>55715.13</v>
      </c>
      <c r="M223" s="162">
        <v>27857.56</v>
      </c>
      <c r="N223" s="120">
        <f t="shared" si="46"/>
        <v>83572.69</v>
      </c>
      <c r="O223" s="162"/>
      <c r="P223" s="169"/>
      <c r="Q223" s="169"/>
      <c r="S223" s="171"/>
      <c r="T223" s="171"/>
      <c r="U223" s="171"/>
      <c r="V223" s="171"/>
      <c r="W223" s="171"/>
      <c r="X223" s="171"/>
      <c r="Y223" s="171"/>
      <c r="Z223" s="171"/>
      <c r="AA223" s="171"/>
    </row>
    <row r="224" spans="1:27" s="170" customFormat="1" outlineLevel="1" x14ac:dyDescent="0.25">
      <c r="A224" s="388"/>
      <c r="B224" s="378"/>
      <c r="C224" s="378"/>
      <c r="D224" s="378"/>
      <c r="E224" s="377"/>
      <c r="F224" s="132" t="s">
        <v>10</v>
      </c>
      <c r="G224" s="133">
        <f>SUM(H224:H224,N224:O224)</f>
        <v>8364.1685858585861</v>
      </c>
      <c r="H224" s="162"/>
      <c r="I224" s="162">
        <f>7520</f>
        <v>7520</v>
      </c>
      <c r="J224" s="136">
        <v>7520</v>
      </c>
      <c r="K224" s="136">
        <f t="shared" si="69"/>
        <v>0</v>
      </c>
      <c r="L224" s="162">
        <f>(L218+L223)*100/99*0.01</f>
        <v>562.77909090909088</v>
      </c>
      <c r="M224" s="162">
        <f>(M218+M223)*100/99*0.01</f>
        <v>281.38949494949497</v>
      </c>
      <c r="N224" s="120">
        <f t="shared" si="46"/>
        <v>8364.1685858585861</v>
      </c>
      <c r="O224" s="162"/>
      <c r="P224" s="169"/>
      <c r="Q224" s="169"/>
      <c r="S224" s="171"/>
      <c r="T224" s="171"/>
      <c r="U224" s="171"/>
      <c r="V224" s="171"/>
      <c r="W224" s="171"/>
      <c r="X224" s="171"/>
      <c r="Y224" s="171"/>
      <c r="Z224" s="171"/>
      <c r="AA224" s="171"/>
    </row>
    <row r="225" spans="1:27" s="170" customFormat="1" outlineLevel="1" x14ac:dyDescent="0.25">
      <c r="A225" s="388"/>
      <c r="B225" s="378"/>
      <c r="C225" s="378"/>
      <c r="D225" s="378"/>
      <c r="E225" s="377"/>
      <c r="F225" s="132" t="s">
        <v>11</v>
      </c>
      <c r="G225" s="133">
        <f>SUM(H225:H225,N225:O225)</f>
        <v>0</v>
      </c>
      <c r="H225" s="162"/>
      <c r="I225" s="162"/>
      <c r="J225" s="136"/>
      <c r="K225" s="136">
        <f t="shared" si="69"/>
        <v>0</v>
      </c>
      <c r="L225" s="162"/>
      <c r="M225" s="162"/>
      <c r="N225" s="120">
        <f t="shared" si="46"/>
        <v>0</v>
      </c>
      <c r="O225" s="162"/>
      <c r="P225" s="169"/>
      <c r="Q225" s="169"/>
      <c r="S225" s="171"/>
      <c r="T225" s="171"/>
      <c r="U225" s="171"/>
      <c r="V225" s="171"/>
      <c r="W225" s="171"/>
      <c r="X225" s="171"/>
      <c r="Y225" s="171"/>
      <c r="Z225" s="171"/>
      <c r="AA225" s="171"/>
    </row>
    <row r="226" spans="1:27" s="47" customFormat="1" outlineLevel="1" x14ac:dyDescent="0.25">
      <c r="A226" s="371" t="s">
        <v>96</v>
      </c>
      <c r="B226" s="372" t="s">
        <v>110</v>
      </c>
      <c r="C226" s="372" t="s">
        <v>195</v>
      </c>
      <c r="D226" s="372" t="s">
        <v>48</v>
      </c>
      <c r="E226" s="374" t="s">
        <v>39</v>
      </c>
      <c r="F226" s="50" t="s">
        <v>7</v>
      </c>
      <c r="G226" s="51">
        <f t="shared" ref="G226:M226" si="70">SUM(G227:G230)</f>
        <v>52687.5</v>
      </c>
      <c r="H226" s="51">
        <f t="shared" si="70"/>
        <v>17251.16</v>
      </c>
      <c r="I226" s="51">
        <f t="shared" si="70"/>
        <v>20286.34</v>
      </c>
      <c r="J226" s="154">
        <f t="shared" si="70"/>
        <v>5286.34</v>
      </c>
      <c r="K226" s="154">
        <f>I226-J226</f>
        <v>15000</v>
      </c>
      <c r="L226" s="51">
        <f t="shared" si="70"/>
        <v>15150</v>
      </c>
      <c r="M226" s="51">
        <f t="shared" si="70"/>
        <v>0</v>
      </c>
      <c r="N226" s="51">
        <f t="shared" si="46"/>
        <v>35436.339999999997</v>
      </c>
      <c r="O226" s="51">
        <f>SUM(O227:O230)</f>
        <v>0</v>
      </c>
      <c r="S226" s="149"/>
      <c r="T226" s="149"/>
      <c r="U226" s="149"/>
      <c r="V226" s="149"/>
      <c r="W226" s="149"/>
      <c r="X226" s="149"/>
      <c r="Y226" s="149"/>
      <c r="Z226" s="149"/>
      <c r="AA226" s="149"/>
    </row>
    <row r="227" spans="1:27" s="47" customFormat="1" outlineLevel="1" x14ac:dyDescent="0.25">
      <c r="A227" s="371"/>
      <c r="B227" s="372"/>
      <c r="C227" s="372"/>
      <c r="D227" s="372"/>
      <c r="E227" s="374"/>
      <c r="F227" s="52" t="s">
        <v>8</v>
      </c>
      <c r="G227" s="53">
        <f>SUM(H227:H227,N227:O227)</f>
        <v>0</v>
      </c>
      <c r="H227" s="53"/>
      <c r="I227" s="53"/>
      <c r="J227" s="155"/>
      <c r="K227" s="155">
        <f t="shared" ref="K227:K230" si="71">I227-J227</f>
        <v>0</v>
      </c>
      <c r="L227" s="53"/>
      <c r="M227" s="53"/>
      <c r="N227" s="51">
        <f t="shared" si="46"/>
        <v>0</v>
      </c>
      <c r="O227" s="53"/>
      <c r="S227" s="149"/>
      <c r="T227" s="149"/>
      <c r="U227" s="149"/>
      <c r="V227" s="149"/>
      <c r="W227" s="149"/>
      <c r="X227" s="149"/>
      <c r="Y227" s="149"/>
      <c r="Z227" s="149"/>
      <c r="AA227" s="149"/>
    </row>
    <row r="228" spans="1:27" s="47" customFormat="1" outlineLevel="1" x14ac:dyDescent="0.25">
      <c r="A228" s="371"/>
      <c r="B228" s="372"/>
      <c r="C228" s="372"/>
      <c r="D228" s="372"/>
      <c r="E228" s="374"/>
      <c r="F228" s="52" t="s">
        <v>9</v>
      </c>
      <c r="G228" s="53">
        <f>SUM(H228:H228,N228:O228)</f>
        <v>15000</v>
      </c>
      <c r="H228" s="53"/>
      <c r="I228" s="53"/>
      <c r="J228" s="155"/>
      <c r="K228" s="155"/>
      <c r="L228" s="53">
        <v>15000</v>
      </c>
      <c r="M228" s="53"/>
      <c r="N228" s="51">
        <f t="shared" si="46"/>
        <v>15000</v>
      </c>
      <c r="O228" s="53"/>
      <c r="S228" s="149"/>
      <c r="T228" s="149"/>
      <c r="U228" s="149"/>
      <c r="V228" s="149"/>
      <c r="W228" s="149"/>
      <c r="X228" s="149"/>
      <c r="Y228" s="149"/>
      <c r="Z228" s="149"/>
      <c r="AA228" s="149"/>
    </row>
    <row r="229" spans="1:27" s="47" customFormat="1" outlineLevel="1" x14ac:dyDescent="0.25">
      <c r="A229" s="371"/>
      <c r="B229" s="372"/>
      <c r="C229" s="372"/>
      <c r="D229" s="372"/>
      <c r="E229" s="374"/>
      <c r="F229" s="52" t="s">
        <v>10</v>
      </c>
      <c r="G229" s="53">
        <f>SUM(H229:H229,N229:O229)</f>
        <v>37687.5</v>
      </c>
      <c r="H229" s="53">
        <v>17251.16</v>
      </c>
      <c r="I229" s="53">
        <f>15000+5136.34+150</f>
        <v>20286.34</v>
      </c>
      <c r="J229" s="155">
        <v>5286.34</v>
      </c>
      <c r="K229" s="155">
        <f t="shared" si="71"/>
        <v>15000</v>
      </c>
      <c r="L229" s="53">
        <v>150</v>
      </c>
      <c r="M229" s="53"/>
      <c r="N229" s="51">
        <f t="shared" si="46"/>
        <v>20436.34</v>
      </c>
      <c r="O229" s="53"/>
      <c r="S229" s="149"/>
      <c r="T229" s="149"/>
      <c r="U229" s="149"/>
      <c r="V229" s="149"/>
      <c r="W229" s="149"/>
      <c r="X229" s="149"/>
      <c r="Y229" s="149"/>
      <c r="Z229" s="149"/>
      <c r="AA229" s="149"/>
    </row>
    <row r="230" spans="1:27" s="47" customFormat="1" outlineLevel="1" x14ac:dyDescent="0.25">
      <c r="A230" s="371"/>
      <c r="B230" s="372"/>
      <c r="C230" s="372"/>
      <c r="D230" s="372"/>
      <c r="E230" s="374"/>
      <c r="F230" s="52" t="s">
        <v>11</v>
      </c>
      <c r="G230" s="53">
        <f>SUM(H230:H230,N230:O230)</f>
        <v>0</v>
      </c>
      <c r="H230" s="53"/>
      <c r="I230" s="53"/>
      <c r="J230" s="155"/>
      <c r="K230" s="155">
        <f t="shared" si="71"/>
        <v>0</v>
      </c>
      <c r="L230" s="53"/>
      <c r="M230" s="53"/>
      <c r="N230" s="51">
        <f t="shared" si="46"/>
        <v>0</v>
      </c>
      <c r="O230" s="53"/>
      <c r="S230" s="149"/>
      <c r="T230" s="149"/>
      <c r="U230" s="149"/>
      <c r="V230" s="149"/>
      <c r="W230" s="149"/>
      <c r="X230" s="149"/>
      <c r="Y230" s="149"/>
      <c r="Z230" s="149"/>
      <c r="AA230" s="149"/>
    </row>
    <row r="231" spans="1:27" s="47" customFormat="1" outlineLevel="1" x14ac:dyDescent="0.25">
      <c r="A231" s="371" t="s">
        <v>97</v>
      </c>
      <c r="B231" s="372" t="s">
        <v>202</v>
      </c>
      <c r="C231" s="372" t="s">
        <v>196</v>
      </c>
      <c r="D231" s="372" t="s">
        <v>49</v>
      </c>
      <c r="E231" s="374" t="s">
        <v>63</v>
      </c>
      <c r="F231" s="50" t="s">
        <v>7</v>
      </c>
      <c r="G231" s="51">
        <f t="shared" ref="G231:M231" si="72">SUM(G232:G235)</f>
        <v>40250</v>
      </c>
      <c r="H231" s="51">
        <f t="shared" si="72"/>
        <v>0</v>
      </c>
      <c r="I231" s="51">
        <f t="shared" si="72"/>
        <v>20250</v>
      </c>
      <c r="J231" s="154">
        <f t="shared" si="72"/>
        <v>0</v>
      </c>
      <c r="K231" s="154">
        <f>I231-J231</f>
        <v>20250</v>
      </c>
      <c r="L231" s="51">
        <f t="shared" si="72"/>
        <v>12000</v>
      </c>
      <c r="M231" s="51">
        <f t="shared" si="72"/>
        <v>8000</v>
      </c>
      <c r="N231" s="51">
        <f t="shared" si="46"/>
        <v>40250</v>
      </c>
      <c r="O231" s="57">
        <f>SUM(O232:O235)</f>
        <v>0</v>
      </c>
      <c r="S231" s="149"/>
      <c r="T231" s="149"/>
      <c r="U231" s="149"/>
      <c r="V231" s="149"/>
      <c r="W231" s="149"/>
      <c r="X231" s="149"/>
      <c r="Y231" s="149"/>
      <c r="Z231" s="149"/>
      <c r="AA231" s="149"/>
    </row>
    <row r="232" spans="1:27" s="47" customFormat="1" outlineLevel="1" x14ac:dyDescent="0.25">
      <c r="A232" s="371"/>
      <c r="B232" s="372"/>
      <c r="C232" s="387"/>
      <c r="D232" s="372"/>
      <c r="E232" s="374"/>
      <c r="F232" s="52" t="s">
        <v>8</v>
      </c>
      <c r="G232" s="53">
        <f>SUM(H232:H232,N232:O232)</f>
        <v>0</v>
      </c>
      <c r="H232" s="53"/>
      <c r="I232" s="53"/>
      <c r="J232" s="155"/>
      <c r="K232" s="155">
        <f t="shared" ref="K232:K235" si="73">I232-J232</f>
        <v>0</v>
      </c>
      <c r="L232" s="53"/>
      <c r="M232" s="53"/>
      <c r="N232" s="51">
        <f t="shared" si="46"/>
        <v>0</v>
      </c>
      <c r="O232" s="58"/>
      <c r="S232" s="149"/>
      <c r="T232" s="149"/>
      <c r="U232" s="149"/>
      <c r="V232" s="149"/>
      <c r="W232" s="149"/>
      <c r="X232" s="149"/>
      <c r="Y232" s="149"/>
      <c r="Z232" s="149"/>
      <c r="AA232" s="149"/>
    </row>
    <row r="233" spans="1:27" s="47" customFormat="1" outlineLevel="1" x14ac:dyDescent="0.25">
      <c r="A233" s="371"/>
      <c r="B233" s="372"/>
      <c r="C233" s="387"/>
      <c r="D233" s="372"/>
      <c r="E233" s="374"/>
      <c r="F233" s="52" t="s">
        <v>9</v>
      </c>
      <c r="G233" s="53">
        <f>SUM(H233:H233,N233:O233)</f>
        <v>0</v>
      </c>
      <c r="H233" s="53"/>
      <c r="I233" s="58"/>
      <c r="J233" s="155"/>
      <c r="K233" s="155">
        <f t="shared" si="73"/>
        <v>0</v>
      </c>
      <c r="L233" s="58"/>
      <c r="M233" s="58"/>
      <c r="N233" s="51">
        <f t="shared" si="46"/>
        <v>0</v>
      </c>
      <c r="O233" s="58"/>
      <c r="S233" s="149"/>
      <c r="T233" s="149"/>
      <c r="U233" s="149"/>
      <c r="V233" s="149"/>
      <c r="W233" s="149"/>
      <c r="X233" s="149"/>
      <c r="Y233" s="149"/>
      <c r="Z233" s="149"/>
      <c r="AA233" s="149"/>
    </row>
    <row r="234" spans="1:27" s="47" customFormat="1" ht="82.5" outlineLevel="1" x14ac:dyDescent="0.25">
      <c r="A234" s="371"/>
      <c r="B234" s="372"/>
      <c r="C234" s="387"/>
      <c r="D234" s="372"/>
      <c r="E234" s="374"/>
      <c r="F234" s="52" t="s">
        <v>181</v>
      </c>
      <c r="G234" s="53">
        <f>SUM(H234:H234,N234:O234)</f>
        <v>40250</v>
      </c>
      <c r="H234" s="53"/>
      <c r="I234" s="58">
        <v>20250</v>
      </c>
      <c r="J234" s="155"/>
      <c r="K234" s="155">
        <f t="shared" si="73"/>
        <v>20250</v>
      </c>
      <c r="L234" s="58">
        <v>12000</v>
      </c>
      <c r="M234" s="58">
        <v>8000</v>
      </c>
      <c r="N234" s="51">
        <f t="shared" si="46"/>
        <v>40250</v>
      </c>
      <c r="O234" s="58"/>
      <c r="S234" s="149"/>
      <c r="T234" s="149"/>
      <c r="U234" s="149"/>
      <c r="V234" s="149"/>
      <c r="W234" s="149"/>
      <c r="X234" s="149"/>
      <c r="Y234" s="149"/>
      <c r="Z234" s="149"/>
      <c r="AA234" s="149"/>
    </row>
    <row r="235" spans="1:27" s="47" customFormat="1" outlineLevel="1" x14ac:dyDescent="0.25">
      <c r="A235" s="371"/>
      <c r="B235" s="372"/>
      <c r="C235" s="387"/>
      <c r="D235" s="372"/>
      <c r="E235" s="374"/>
      <c r="F235" s="52" t="s">
        <v>11</v>
      </c>
      <c r="G235" s="53">
        <f>SUM(H235:H235,N235:O235)</f>
        <v>0</v>
      </c>
      <c r="H235" s="58"/>
      <c r="I235" s="58"/>
      <c r="J235" s="155"/>
      <c r="K235" s="155">
        <f t="shared" si="73"/>
        <v>0</v>
      </c>
      <c r="L235" s="58"/>
      <c r="M235" s="58"/>
      <c r="N235" s="51">
        <f t="shared" si="46"/>
        <v>0</v>
      </c>
      <c r="O235" s="58"/>
      <c r="S235" s="149"/>
      <c r="T235" s="149"/>
      <c r="U235" s="149"/>
      <c r="V235" s="149"/>
      <c r="W235" s="149"/>
      <c r="X235" s="149"/>
      <c r="Y235" s="149"/>
      <c r="Z235" s="149"/>
      <c r="AA235" s="149"/>
    </row>
    <row r="236" spans="1:27" s="59" customFormat="1" outlineLevel="1" x14ac:dyDescent="0.25">
      <c r="A236" s="371" t="s">
        <v>98</v>
      </c>
      <c r="B236" s="372" t="s">
        <v>76</v>
      </c>
      <c r="C236" s="372" t="s">
        <v>176</v>
      </c>
      <c r="D236" s="372" t="s">
        <v>48</v>
      </c>
      <c r="E236" s="374" t="s">
        <v>16</v>
      </c>
      <c r="F236" s="50" t="s">
        <v>7</v>
      </c>
      <c r="G236" s="51">
        <f>SUM(G237:G240)</f>
        <v>46500.299999999996</v>
      </c>
      <c r="H236" s="51">
        <f>SUM(H237:H240)</f>
        <v>0</v>
      </c>
      <c r="I236" s="51">
        <f>SUM(I237:I240)</f>
        <v>0</v>
      </c>
      <c r="J236" s="154"/>
      <c r="K236" s="154">
        <f>I236-J236</f>
        <v>0</v>
      </c>
      <c r="L236" s="51">
        <f>SUM(L237:L240)</f>
        <v>36198.36</v>
      </c>
      <c r="M236" s="51">
        <f>SUM(M237:M240)</f>
        <v>10301.94</v>
      </c>
      <c r="N236" s="51">
        <f t="shared" si="46"/>
        <v>46500.3</v>
      </c>
      <c r="O236" s="58"/>
      <c r="S236" s="172"/>
      <c r="T236" s="172"/>
      <c r="U236" s="172"/>
      <c r="V236" s="172"/>
      <c r="W236" s="172"/>
      <c r="X236" s="172"/>
      <c r="Y236" s="172"/>
      <c r="Z236" s="172"/>
      <c r="AA236" s="172"/>
    </row>
    <row r="237" spans="1:27" s="59" customFormat="1" outlineLevel="1" x14ac:dyDescent="0.25">
      <c r="A237" s="371"/>
      <c r="B237" s="372"/>
      <c r="C237" s="372"/>
      <c r="D237" s="372"/>
      <c r="E237" s="374"/>
      <c r="F237" s="52" t="s">
        <v>8</v>
      </c>
      <c r="G237" s="53">
        <f>SUM(H237:H237,N237:O237)</f>
        <v>0</v>
      </c>
      <c r="H237" s="58"/>
      <c r="I237" s="58"/>
      <c r="J237" s="155"/>
      <c r="K237" s="155">
        <f t="shared" ref="K237:K240" si="74">I237-J237</f>
        <v>0</v>
      </c>
      <c r="L237" s="58"/>
      <c r="M237" s="58"/>
      <c r="N237" s="51">
        <f t="shared" si="46"/>
        <v>0</v>
      </c>
      <c r="O237" s="58"/>
      <c r="S237" s="172"/>
      <c r="T237" s="172"/>
      <c r="U237" s="172"/>
      <c r="V237" s="172"/>
      <c r="W237" s="172"/>
      <c r="X237" s="172"/>
      <c r="Y237" s="172"/>
      <c r="Z237" s="172"/>
      <c r="AA237" s="172"/>
    </row>
    <row r="238" spans="1:27" s="59" customFormat="1" outlineLevel="1" x14ac:dyDescent="0.25">
      <c r="A238" s="371"/>
      <c r="B238" s="372"/>
      <c r="C238" s="372"/>
      <c r="D238" s="372"/>
      <c r="E238" s="374"/>
      <c r="F238" s="52" t="s">
        <v>9</v>
      </c>
      <c r="G238" s="53">
        <f>SUM(H238:H238,N238:O238)</f>
        <v>46035.299999999996</v>
      </c>
      <c r="H238" s="58"/>
      <c r="I238" s="58"/>
      <c r="J238" s="155"/>
      <c r="K238" s="155">
        <f t="shared" si="74"/>
        <v>0</v>
      </c>
      <c r="L238" s="58">
        <v>35836.379999999997</v>
      </c>
      <c r="M238" s="58">
        <v>10198.92</v>
      </c>
      <c r="N238" s="51">
        <f t="shared" si="46"/>
        <v>46035.299999999996</v>
      </c>
      <c r="O238" s="58"/>
      <c r="S238" s="172"/>
      <c r="T238" s="172"/>
      <c r="U238" s="172"/>
      <c r="V238" s="172"/>
      <c r="W238" s="172"/>
      <c r="X238" s="172"/>
      <c r="Y238" s="172"/>
      <c r="Z238" s="172"/>
      <c r="AA238" s="172"/>
    </row>
    <row r="239" spans="1:27" s="59" customFormat="1" outlineLevel="1" x14ac:dyDescent="0.25">
      <c r="A239" s="371"/>
      <c r="B239" s="372"/>
      <c r="C239" s="372"/>
      <c r="D239" s="372"/>
      <c r="E239" s="374"/>
      <c r="F239" s="52" t="s">
        <v>10</v>
      </c>
      <c r="G239" s="53">
        <f>SUM(H239:H239,N239:O239)</f>
        <v>465</v>
      </c>
      <c r="H239" s="58"/>
      <c r="I239" s="58"/>
      <c r="J239" s="155"/>
      <c r="K239" s="155">
        <f t="shared" si="74"/>
        <v>0</v>
      </c>
      <c r="L239" s="58">
        <v>361.98</v>
      </c>
      <c r="M239" s="58">
        <v>103.02</v>
      </c>
      <c r="N239" s="51">
        <f t="shared" si="46"/>
        <v>465</v>
      </c>
      <c r="O239" s="58"/>
      <c r="S239" s="172"/>
      <c r="T239" s="172"/>
      <c r="U239" s="172"/>
      <c r="V239" s="172"/>
      <c r="W239" s="172"/>
      <c r="X239" s="172"/>
      <c r="Y239" s="172"/>
      <c r="Z239" s="172"/>
      <c r="AA239" s="172"/>
    </row>
    <row r="240" spans="1:27" s="59" customFormat="1" outlineLevel="1" x14ac:dyDescent="0.25">
      <c r="A240" s="371"/>
      <c r="B240" s="372"/>
      <c r="C240" s="372"/>
      <c r="D240" s="372"/>
      <c r="E240" s="374"/>
      <c r="F240" s="52" t="s">
        <v>11</v>
      </c>
      <c r="G240" s="53">
        <f>SUM(H240:H240,N240:O240)</f>
        <v>0</v>
      </c>
      <c r="H240" s="58"/>
      <c r="I240" s="58"/>
      <c r="J240" s="155"/>
      <c r="K240" s="155">
        <f t="shared" si="74"/>
        <v>0</v>
      </c>
      <c r="L240" s="58"/>
      <c r="M240" s="58"/>
      <c r="N240" s="51">
        <f t="shared" si="46"/>
        <v>0</v>
      </c>
      <c r="O240" s="58"/>
      <c r="S240" s="172"/>
      <c r="T240" s="172"/>
      <c r="U240" s="172"/>
      <c r="V240" s="172"/>
      <c r="W240" s="172"/>
      <c r="X240" s="172"/>
      <c r="Y240" s="172"/>
      <c r="Z240" s="172"/>
      <c r="AA240" s="172"/>
    </row>
    <row r="241" spans="1:27" s="47" customFormat="1" outlineLevel="1" x14ac:dyDescent="0.25">
      <c r="A241" s="371" t="s">
        <v>99</v>
      </c>
      <c r="B241" s="372" t="s">
        <v>246</v>
      </c>
      <c r="C241" s="372"/>
      <c r="D241" s="372" t="s">
        <v>48</v>
      </c>
      <c r="E241" s="374">
        <v>2023</v>
      </c>
      <c r="F241" s="50" t="s">
        <v>7</v>
      </c>
      <c r="G241" s="54">
        <f t="shared" ref="G241:M241" si="75">SUM(G242:G245)</f>
        <v>1030</v>
      </c>
      <c r="H241" s="54">
        <f t="shared" si="75"/>
        <v>0</v>
      </c>
      <c r="I241" s="54">
        <f t="shared" si="75"/>
        <v>1030</v>
      </c>
      <c r="J241" s="156">
        <f t="shared" si="75"/>
        <v>1030</v>
      </c>
      <c r="K241" s="154">
        <f>I241-J241</f>
        <v>0</v>
      </c>
      <c r="L241" s="54">
        <f t="shared" si="75"/>
        <v>0</v>
      </c>
      <c r="M241" s="54">
        <f t="shared" si="75"/>
        <v>0</v>
      </c>
      <c r="N241" s="51">
        <f t="shared" si="46"/>
        <v>1030</v>
      </c>
      <c r="O241" s="54">
        <f>SUM(O242:O245)</f>
        <v>0</v>
      </c>
      <c r="S241" s="149"/>
      <c r="T241" s="149"/>
      <c r="U241" s="149"/>
      <c r="V241" s="149"/>
      <c r="W241" s="149"/>
      <c r="X241" s="149"/>
      <c r="Y241" s="149"/>
      <c r="Z241" s="149"/>
      <c r="AA241" s="149"/>
    </row>
    <row r="242" spans="1:27" s="47" customFormat="1" outlineLevel="1" x14ac:dyDescent="0.25">
      <c r="A242" s="371"/>
      <c r="B242" s="372"/>
      <c r="C242" s="372"/>
      <c r="D242" s="372"/>
      <c r="E242" s="374"/>
      <c r="F242" s="52" t="s">
        <v>8</v>
      </c>
      <c r="G242" s="53">
        <f>SUM(H242:H242,N242:O242)</f>
        <v>0</v>
      </c>
      <c r="H242" s="55"/>
      <c r="I242" s="55"/>
      <c r="J242" s="157"/>
      <c r="K242" s="155">
        <f t="shared" ref="K242:K245" si="76">I242-J242</f>
        <v>0</v>
      </c>
      <c r="L242" s="55"/>
      <c r="M242" s="55"/>
      <c r="N242" s="51">
        <f t="shared" si="46"/>
        <v>0</v>
      </c>
      <c r="O242" s="55"/>
      <c r="S242" s="149"/>
      <c r="T242" s="149"/>
      <c r="U242" s="149"/>
      <c r="V242" s="149"/>
      <c r="W242" s="149"/>
      <c r="X242" s="149"/>
      <c r="Y242" s="149"/>
      <c r="Z242" s="149"/>
      <c r="AA242" s="149"/>
    </row>
    <row r="243" spans="1:27" s="47" customFormat="1" outlineLevel="1" x14ac:dyDescent="0.25">
      <c r="A243" s="371"/>
      <c r="B243" s="372"/>
      <c r="C243" s="372"/>
      <c r="D243" s="372"/>
      <c r="E243" s="374"/>
      <c r="F243" s="52" t="s">
        <v>9</v>
      </c>
      <c r="G243" s="53">
        <f>SUM(H243:H243,N243:O243)</f>
        <v>0</v>
      </c>
      <c r="H243" s="55"/>
      <c r="I243" s="55"/>
      <c r="J243" s="157"/>
      <c r="K243" s="155">
        <f t="shared" si="76"/>
        <v>0</v>
      </c>
      <c r="L243" s="55"/>
      <c r="M243" s="55"/>
      <c r="N243" s="51">
        <f t="shared" si="46"/>
        <v>0</v>
      </c>
      <c r="O243" s="55"/>
      <c r="S243" s="149"/>
      <c r="T243" s="149"/>
      <c r="U243" s="149"/>
      <c r="V243" s="149"/>
      <c r="W243" s="149"/>
      <c r="X243" s="149"/>
      <c r="Y243" s="149"/>
      <c r="Z243" s="149"/>
      <c r="AA243" s="149"/>
    </row>
    <row r="244" spans="1:27" s="47" customFormat="1" outlineLevel="1" x14ac:dyDescent="0.25">
      <c r="A244" s="371"/>
      <c r="B244" s="372"/>
      <c r="C244" s="372"/>
      <c r="D244" s="372"/>
      <c r="E244" s="374"/>
      <c r="F244" s="52" t="s">
        <v>10</v>
      </c>
      <c r="G244" s="53">
        <f>SUM(H244:H244,N244:O244)</f>
        <v>1030</v>
      </c>
      <c r="H244" s="55"/>
      <c r="I244" s="55">
        <v>1030</v>
      </c>
      <c r="J244" s="157">
        <f>I244</f>
        <v>1030</v>
      </c>
      <c r="K244" s="155">
        <f t="shared" si="76"/>
        <v>0</v>
      </c>
      <c r="L244" s="55"/>
      <c r="M244" s="55"/>
      <c r="N244" s="51">
        <f t="shared" si="46"/>
        <v>1030</v>
      </c>
      <c r="O244" s="55"/>
      <c r="S244" s="149"/>
      <c r="T244" s="149"/>
      <c r="U244" s="149"/>
      <c r="V244" s="149"/>
      <c r="W244" s="149"/>
      <c r="X244" s="149"/>
      <c r="Y244" s="149"/>
      <c r="Z244" s="149"/>
      <c r="AA244" s="149"/>
    </row>
    <row r="245" spans="1:27" s="47" customFormat="1" outlineLevel="1" x14ac:dyDescent="0.25">
      <c r="A245" s="371"/>
      <c r="B245" s="372"/>
      <c r="C245" s="372"/>
      <c r="D245" s="372"/>
      <c r="E245" s="374"/>
      <c r="F245" s="52" t="s">
        <v>11</v>
      </c>
      <c r="G245" s="53">
        <f>SUM(H245:H245,N245:O245)</f>
        <v>0</v>
      </c>
      <c r="H245" s="55"/>
      <c r="I245" s="55"/>
      <c r="J245" s="157"/>
      <c r="K245" s="155">
        <f t="shared" si="76"/>
        <v>0</v>
      </c>
      <c r="L245" s="55"/>
      <c r="M245" s="55"/>
      <c r="N245" s="51">
        <f t="shared" si="46"/>
        <v>0</v>
      </c>
      <c r="O245" s="55"/>
      <c r="S245" s="149"/>
      <c r="T245" s="149"/>
      <c r="U245" s="149"/>
      <c r="V245" s="149"/>
      <c r="W245" s="149"/>
      <c r="X245" s="149"/>
      <c r="Y245" s="149"/>
      <c r="Z245" s="149"/>
      <c r="AA245" s="149"/>
    </row>
    <row r="246" spans="1:27" x14ac:dyDescent="0.25">
      <c r="A246" s="383" t="s">
        <v>51</v>
      </c>
      <c r="B246" s="384" t="s">
        <v>52</v>
      </c>
      <c r="C246" s="383"/>
      <c r="D246" s="385"/>
      <c r="E246" s="385"/>
      <c r="F246" s="126" t="s">
        <v>7</v>
      </c>
      <c r="G246" s="120">
        <f t="shared" ref="G246:M246" si="77">SUM(G247:G250)</f>
        <v>3165867.83</v>
      </c>
      <c r="H246" s="120">
        <f t="shared" si="77"/>
        <v>198987.31</v>
      </c>
      <c r="I246" s="120">
        <f t="shared" si="77"/>
        <v>534488.42000000004</v>
      </c>
      <c r="J246" s="121">
        <f t="shared" si="77"/>
        <v>400645.21</v>
      </c>
      <c r="K246" s="121">
        <f>I246-J246</f>
        <v>133843.21000000002</v>
      </c>
      <c r="L246" s="120">
        <f t="shared" si="77"/>
        <v>646835.05000000005</v>
      </c>
      <c r="M246" s="120">
        <f t="shared" si="77"/>
        <v>616051</v>
      </c>
      <c r="N246" s="120">
        <f t="shared" si="46"/>
        <v>1797374.4700000002</v>
      </c>
      <c r="O246" s="120">
        <f>SUM(O247:O250)</f>
        <v>1169506.05</v>
      </c>
      <c r="P246" s="173" t="e">
        <f>G246+#REF!</f>
        <v>#REF!</v>
      </c>
      <c r="Q246" s="25" t="e">
        <f>P246/G10*100</f>
        <v>#REF!</v>
      </c>
    </row>
    <row r="247" spans="1:27" x14ac:dyDescent="0.25">
      <c r="A247" s="383"/>
      <c r="B247" s="384"/>
      <c r="C247" s="383"/>
      <c r="D247" s="385"/>
      <c r="E247" s="385"/>
      <c r="F247" s="119" t="s">
        <v>8</v>
      </c>
      <c r="G247" s="120">
        <f>SUM(H247:H247,N247:O247)</f>
        <v>0</v>
      </c>
      <c r="H247" s="120">
        <f t="shared" ref="H247:J250" si="78">SUM(H252,H327,H347)</f>
        <v>0</v>
      </c>
      <c r="I247" s="120">
        <f t="shared" si="78"/>
        <v>0</v>
      </c>
      <c r="J247" s="121">
        <f t="shared" si="78"/>
        <v>0</v>
      </c>
      <c r="K247" s="121">
        <f t="shared" ref="K247:K250" si="79">I247-J247</f>
        <v>0</v>
      </c>
      <c r="L247" s="120">
        <f t="shared" ref="L247:M250" si="80">SUM(L252,L327,L347)</f>
        <v>0</v>
      </c>
      <c r="M247" s="120">
        <f t="shared" si="80"/>
        <v>0</v>
      </c>
      <c r="N247" s="120">
        <f t="shared" si="46"/>
        <v>0</v>
      </c>
      <c r="O247" s="120">
        <f>SUM(O252,O327,O347)</f>
        <v>0</v>
      </c>
    </row>
    <row r="248" spans="1:27" x14ac:dyDescent="0.25">
      <c r="A248" s="383"/>
      <c r="B248" s="384"/>
      <c r="C248" s="383"/>
      <c r="D248" s="385"/>
      <c r="E248" s="385"/>
      <c r="F248" s="119" t="s">
        <v>9</v>
      </c>
      <c r="G248" s="120">
        <f>SUM(H248:H248,N248:O248)</f>
        <v>2807454.56</v>
      </c>
      <c r="H248" s="120">
        <f t="shared" si="78"/>
        <v>149283.29999999999</v>
      </c>
      <c r="I248" s="120">
        <f t="shared" si="78"/>
        <v>377435.21</v>
      </c>
      <c r="J248" s="121">
        <f t="shared" si="78"/>
        <v>287500</v>
      </c>
      <c r="K248" s="121">
        <f t="shared" si="79"/>
        <v>89935.210000000021</v>
      </c>
      <c r="L248" s="120">
        <f t="shared" si="80"/>
        <v>597900</v>
      </c>
      <c r="M248" s="120">
        <f t="shared" si="80"/>
        <v>518330</v>
      </c>
      <c r="N248" s="120">
        <f t="shared" ref="N248:N361" si="81">SUM(I248,L248:M248)</f>
        <v>1493665.21</v>
      </c>
      <c r="O248" s="120">
        <f>SUM(O253,O328,O348)</f>
        <v>1164506.05</v>
      </c>
    </row>
    <row r="249" spans="1:27" x14ac:dyDescent="0.25">
      <c r="A249" s="383"/>
      <c r="B249" s="384"/>
      <c r="C249" s="383"/>
      <c r="D249" s="385"/>
      <c r="E249" s="385"/>
      <c r="F249" s="119" t="s">
        <v>10</v>
      </c>
      <c r="G249" s="120">
        <f>SUM(H249:H249,N249:O249)</f>
        <v>255933.27000000002</v>
      </c>
      <c r="H249" s="120">
        <f t="shared" si="78"/>
        <v>49704.009999999995</v>
      </c>
      <c r="I249" s="120">
        <f t="shared" si="78"/>
        <v>148573.21000000002</v>
      </c>
      <c r="J249" s="121">
        <f t="shared" si="78"/>
        <v>104665.21</v>
      </c>
      <c r="K249" s="121">
        <f t="shared" si="79"/>
        <v>43908.000000000015</v>
      </c>
      <c r="L249" s="120">
        <f t="shared" si="80"/>
        <v>6935.05</v>
      </c>
      <c r="M249" s="120">
        <f t="shared" si="80"/>
        <v>45721</v>
      </c>
      <c r="N249" s="120">
        <f t="shared" si="81"/>
        <v>201229.26</v>
      </c>
      <c r="O249" s="120">
        <f>SUM(O254,O329,O349)</f>
        <v>5000</v>
      </c>
    </row>
    <row r="250" spans="1:27" x14ac:dyDescent="0.25">
      <c r="A250" s="383"/>
      <c r="B250" s="384"/>
      <c r="C250" s="383"/>
      <c r="D250" s="385"/>
      <c r="E250" s="385"/>
      <c r="F250" s="119" t="s">
        <v>11</v>
      </c>
      <c r="G250" s="120">
        <f>SUM(H250:H250,N250:O250)</f>
        <v>102480</v>
      </c>
      <c r="H250" s="120">
        <f t="shared" si="78"/>
        <v>0</v>
      </c>
      <c r="I250" s="120">
        <f t="shared" si="78"/>
        <v>8480</v>
      </c>
      <c r="J250" s="121">
        <f t="shared" si="78"/>
        <v>8480</v>
      </c>
      <c r="K250" s="121">
        <f t="shared" si="79"/>
        <v>0</v>
      </c>
      <c r="L250" s="120">
        <f t="shared" si="80"/>
        <v>42000</v>
      </c>
      <c r="M250" s="120">
        <f t="shared" si="80"/>
        <v>52000</v>
      </c>
      <c r="N250" s="120">
        <f t="shared" si="81"/>
        <v>102480</v>
      </c>
      <c r="O250" s="120">
        <f>SUM(O255,O330,O350)</f>
        <v>0</v>
      </c>
    </row>
    <row r="251" spans="1:27" s="72" customFormat="1" x14ac:dyDescent="0.25">
      <c r="A251" s="386" t="s">
        <v>43</v>
      </c>
      <c r="B251" s="382" t="s">
        <v>53</v>
      </c>
      <c r="C251" s="381"/>
      <c r="D251" s="381"/>
      <c r="E251" s="381"/>
      <c r="F251" s="65" t="s">
        <v>7</v>
      </c>
      <c r="G251" s="66">
        <f t="shared" ref="G251:M251" si="82">SUM(G252:G255)</f>
        <v>2505389.14</v>
      </c>
      <c r="H251" s="66">
        <f t="shared" si="82"/>
        <v>179533.19</v>
      </c>
      <c r="I251" s="66">
        <f t="shared" si="82"/>
        <v>480914.85</v>
      </c>
      <c r="J251" s="124">
        <f t="shared" si="82"/>
        <v>371556.85</v>
      </c>
      <c r="K251" s="124">
        <f>I251-J251</f>
        <v>109358</v>
      </c>
      <c r="L251" s="66">
        <f t="shared" si="82"/>
        <v>494185.05</v>
      </c>
      <c r="M251" s="66">
        <f t="shared" si="82"/>
        <v>281500</v>
      </c>
      <c r="N251" s="66">
        <f t="shared" si="81"/>
        <v>1256599.8999999999</v>
      </c>
      <c r="O251" s="66">
        <f>SUM(O252:O255)</f>
        <v>1069256.05</v>
      </c>
      <c r="P251" s="71"/>
      <c r="Q251" s="71"/>
      <c r="S251" s="146"/>
      <c r="T251" s="146"/>
      <c r="U251" s="146"/>
      <c r="V251" s="146"/>
      <c r="W251" s="146"/>
      <c r="X251" s="146"/>
      <c r="Y251" s="146"/>
      <c r="Z251" s="146"/>
      <c r="AA251" s="146"/>
    </row>
    <row r="252" spans="1:27" s="72" customFormat="1" x14ac:dyDescent="0.25">
      <c r="A252" s="386"/>
      <c r="B252" s="382"/>
      <c r="C252" s="381"/>
      <c r="D252" s="381"/>
      <c r="E252" s="381"/>
      <c r="F252" s="69" t="s">
        <v>8</v>
      </c>
      <c r="G252" s="66">
        <f>SUM(H252:H252,N252:O252)</f>
        <v>0</v>
      </c>
      <c r="H252" s="66">
        <f>H257+H262+H272+H277+H267+H282+H287+H292+H297+H302+H307+H312+H317+H322</f>
        <v>0</v>
      </c>
      <c r="I252" s="66">
        <f t="shared" ref="I252:O255" si="83">I257+I262+I272+I277+I267+I282+I287+I292+I297+I302+I307+I312+I317+I322</f>
        <v>0</v>
      </c>
      <c r="J252" s="66">
        <f t="shared" si="83"/>
        <v>0</v>
      </c>
      <c r="K252" s="66">
        <f t="shared" si="83"/>
        <v>0</v>
      </c>
      <c r="L252" s="66">
        <f t="shared" si="83"/>
        <v>0</v>
      </c>
      <c r="M252" s="66">
        <f t="shared" si="83"/>
        <v>0</v>
      </c>
      <c r="N252" s="66">
        <f t="shared" si="83"/>
        <v>0</v>
      </c>
      <c r="O252" s="66">
        <f t="shared" si="83"/>
        <v>0</v>
      </c>
      <c r="P252" s="71"/>
      <c r="Q252" s="71"/>
      <c r="S252" s="146"/>
      <c r="T252" s="146"/>
      <c r="U252" s="146"/>
      <c r="V252" s="146"/>
      <c r="W252" s="146"/>
      <c r="X252" s="146"/>
      <c r="Y252" s="146"/>
      <c r="Z252" s="146"/>
      <c r="AA252" s="146"/>
    </row>
    <row r="253" spans="1:27" s="72" customFormat="1" x14ac:dyDescent="0.25">
      <c r="A253" s="386"/>
      <c r="B253" s="382"/>
      <c r="C253" s="381"/>
      <c r="D253" s="381"/>
      <c r="E253" s="381"/>
      <c r="F253" s="69" t="s">
        <v>9</v>
      </c>
      <c r="G253" s="66">
        <f>SUM(H253:H253,N253:O253)</f>
        <v>2340689.35</v>
      </c>
      <c r="H253" s="66">
        <f t="shared" ref="H253:N255" si="84">H258+H263+H273+H278+H268+H283+H288+H293+H298+H303+H308+H313+H318+H323</f>
        <v>149283.29999999999</v>
      </c>
      <c r="I253" s="66">
        <f t="shared" si="84"/>
        <v>353250</v>
      </c>
      <c r="J253" s="66">
        <f t="shared" si="84"/>
        <v>275000</v>
      </c>
      <c r="K253" s="66">
        <f t="shared" si="84"/>
        <v>78250</v>
      </c>
      <c r="L253" s="66">
        <f t="shared" si="84"/>
        <v>492400</v>
      </c>
      <c r="M253" s="66">
        <f t="shared" si="84"/>
        <v>276500</v>
      </c>
      <c r="N253" s="66">
        <f t="shared" si="84"/>
        <v>1122150</v>
      </c>
      <c r="O253" s="66">
        <f t="shared" si="83"/>
        <v>1069256.05</v>
      </c>
      <c r="P253" s="71"/>
      <c r="Q253" s="71"/>
      <c r="S253" s="146"/>
      <c r="T253" s="146"/>
      <c r="U253" s="146"/>
      <c r="V253" s="146"/>
      <c r="W253" s="146"/>
      <c r="X253" s="146"/>
      <c r="Y253" s="146"/>
      <c r="Z253" s="146"/>
      <c r="AA253" s="146"/>
    </row>
    <row r="254" spans="1:27" s="72" customFormat="1" x14ac:dyDescent="0.25">
      <c r="A254" s="386"/>
      <c r="B254" s="382"/>
      <c r="C254" s="381"/>
      <c r="D254" s="381"/>
      <c r="E254" s="381"/>
      <c r="F254" s="69" t="s">
        <v>10</v>
      </c>
      <c r="G254" s="66">
        <f>SUM(H254:H254,N254:O254)</f>
        <v>164699.79000000004</v>
      </c>
      <c r="H254" s="66">
        <f t="shared" si="84"/>
        <v>30249.89</v>
      </c>
      <c r="I254" s="66">
        <f t="shared" si="84"/>
        <v>127664.85</v>
      </c>
      <c r="J254" s="66">
        <f t="shared" si="84"/>
        <v>96556.85</v>
      </c>
      <c r="K254" s="66">
        <f t="shared" si="84"/>
        <v>31108</v>
      </c>
      <c r="L254" s="66">
        <f t="shared" si="84"/>
        <v>1785.05</v>
      </c>
      <c r="M254" s="66">
        <f t="shared" si="84"/>
        <v>5000</v>
      </c>
      <c r="N254" s="66">
        <f t="shared" si="84"/>
        <v>134449.90000000002</v>
      </c>
      <c r="O254" s="66">
        <f t="shared" si="83"/>
        <v>0</v>
      </c>
      <c r="P254" s="71"/>
      <c r="Q254" s="71"/>
      <c r="S254" s="146"/>
      <c r="T254" s="146"/>
      <c r="U254" s="146"/>
      <c r="V254" s="146"/>
      <c r="W254" s="146"/>
      <c r="X254" s="146"/>
      <c r="Y254" s="146"/>
      <c r="Z254" s="146"/>
      <c r="AA254" s="146"/>
    </row>
    <row r="255" spans="1:27" s="72" customFormat="1" x14ac:dyDescent="0.25">
      <c r="A255" s="386"/>
      <c r="B255" s="382"/>
      <c r="C255" s="381"/>
      <c r="D255" s="381"/>
      <c r="E255" s="381"/>
      <c r="F255" s="69" t="s">
        <v>11</v>
      </c>
      <c r="G255" s="66">
        <f>SUM(H255:H255,N255:O255)</f>
        <v>0</v>
      </c>
      <c r="H255" s="66">
        <f t="shared" si="84"/>
        <v>0</v>
      </c>
      <c r="I255" s="66">
        <f t="shared" si="84"/>
        <v>0</v>
      </c>
      <c r="J255" s="66">
        <f t="shared" si="84"/>
        <v>0</v>
      </c>
      <c r="K255" s="66">
        <f t="shared" si="84"/>
        <v>0</v>
      </c>
      <c r="L255" s="66">
        <f t="shared" si="84"/>
        <v>0</v>
      </c>
      <c r="M255" s="66">
        <f t="shared" si="84"/>
        <v>0</v>
      </c>
      <c r="N255" s="66">
        <f t="shared" si="84"/>
        <v>0</v>
      </c>
      <c r="O255" s="66">
        <f t="shared" si="83"/>
        <v>0</v>
      </c>
      <c r="P255" s="71"/>
      <c r="Q255" s="71"/>
      <c r="S255" s="146"/>
      <c r="T255" s="146"/>
      <c r="U255" s="146"/>
      <c r="V255" s="146"/>
      <c r="W255" s="146"/>
      <c r="X255" s="146"/>
      <c r="Y255" s="146"/>
      <c r="Z255" s="146"/>
      <c r="AA255" s="146"/>
    </row>
    <row r="256" spans="1:27" outlineLevel="1" x14ac:dyDescent="0.25">
      <c r="A256" s="376" t="s">
        <v>158</v>
      </c>
      <c r="B256" s="378" t="s">
        <v>151</v>
      </c>
      <c r="C256" s="378" t="s">
        <v>54</v>
      </c>
      <c r="D256" s="378" t="s">
        <v>77</v>
      </c>
      <c r="E256" s="380" t="s">
        <v>63</v>
      </c>
      <c r="F256" s="126" t="s">
        <v>7</v>
      </c>
      <c r="G256" s="120">
        <f>SUM(G257:G260)</f>
        <v>439250</v>
      </c>
      <c r="H256" s="120">
        <f>SUM(H257:H260)</f>
        <v>0</v>
      </c>
      <c r="I256" s="120">
        <f>SUM(I257:I260)</f>
        <v>24250</v>
      </c>
      <c r="J256" s="121"/>
      <c r="K256" s="121">
        <f>I256-J256</f>
        <v>24250</v>
      </c>
      <c r="L256" s="120">
        <f>SUM(L257:L260)</f>
        <v>207500</v>
      </c>
      <c r="M256" s="120">
        <f>SUM(M257:M260)</f>
        <v>207500</v>
      </c>
      <c r="N256" s="120">
        <f t="shared" si="81"/>
        <v>439250</v>
      </c>
      <c r="O256" s="120">
        <f>SUM(O257:O260)</f>
        <v>0</v>
      </c>
    </row>
    <row r="257" spans="1:15" outlineLevel="1" x14ac:dyDescent="0.25">
      <c r="A257" s="376"/>
      <c r="B257" s="378"/>
      <c r="C257" s="378"/>
      <c r="D257" s="378"/>
      <c r="E257" s="380"/>
      <c r="F257" s="132" t="s">
        <v>8</v>
      </c>
      <c r="G257" s="133">
        <f>SUM(H257:H257,N257:O257)</f>
        <v>0</v>
      </c>
      <c r="H257" s="133"/>
      <c r="I257" s="133"/>
      <c r="J257" s="136"/>
      <c r="K257" s="136">
        <f t="shared" ref="K257:K260" si="85">I257-J257</f>
        <v>0</v>
      </c>
      <c r="L257" s="133"/>
      <c r="M257" s="133"/>
      <c r="N257" s="120">
        <f t="shared" si="81"/>
        <v>0</v>
      </c>
      <c r="O257" s="133"/>
    </row>
    <row r="258" spans="1:15" outlineLevel="1" x14ac:dyDescent="0.25">
      <c r="A258" s="376"/>
      <c r="B258" s="378"/>
      <c r="C258" s="378"/>
      <c r="D258" s="378"/>
      <c r="E258" s="380"/>
      <c r="F258" s="132" t="s">
        <v>9</v>
      </c>
      <c r="G258" s="133">
        <f>SUM(H258:H258,N258:O258)</f>
        <v>439250</v>
      </c>
      <c r="H258" s="133"/>
      <c r="I258" s="133">
        <v>24250</v>
      </c>
      <c r="J258" s="136"/>
      <c r="K258" s="145">
        <f t="shared" si="85"/>
        <v>24250</v>
      </c>
      <c r="L258" s="133">
        <v>207500</v>
      </c>
      <c r="M258" s="133">
        <v>207500</v>
      </c>
      <c r="N258" s="120">
        <f t="shared" si="81"/>
        <v>439250</v>
      </c>
      <c r="O258" s="133"/>
    </row>
    <row r="259" spans="1:15" outlineLevel="1" x14ac:dyDescent="0.25">
      <c r="A259" s="376"/>
      <c r="B259" s="378"/>
      <c r="C259" s="378"/>
      <c r="D259" s="378"/>
      <c r="E259" s="380"/>
      <c r="F259" s="132" t="s">
        <v>10</v>
      </c>
      <c r="G259" s="133">
        <f>SUM(H259:H259,N259:O259)</f>
        <v>0</v>
      </c>
      <c r="H259" s="133"/>
      <c r="I259" s="133"/>
      <c r="J259" s="136"/>
      <c r="K259" s="136">
        <f t="shared" si="85"/>
        <v>0</v>
      </c>
      <c r="L259" s="133"/>
      <c r="M259" s="133"/>
      <c r="N259" s="120">
        <f t="shared" si="81"/>
        <v>0</v>
      </c>
      <c r="O259" s="133"/>
    </row>
    <row r="260" spans="1:15" outlineLevel="1" x14ac:dyDescent="0.25">
      <c r="A260" s="376"/>
      <c r="B260" s="378"/>
      <c r="C260" s="378"/>
      <c r="D260" s="378"/>
      <c r="E260" s="380"/>
      <c r="F260" s="132" t="s">
        <v>11</v>
      </c>
      <c r="G260" s="133">
        <f>SUM(H260:H260,N260:O260)</f>
        <v>0</v>
      </c>
      <c r="H260" s="133"/>
      <c r="I260" s="133"/>
      <c r="J260" s="136"/>
      <c r="K260" s="136">
        <f t="shared" si="85"/>
        <v>0</v>
      </c>
      <c r="L260" s="133"/>
      <c r="M260" s="133"/>
      <c r="N260" s="120">
        <f t="shared" si="81"/>
        <v>0</v>
      </c>
      <c r="O260" s="133"/>
    </row>
    <row r="261" spans="1:15" outlineLevel="1" x14ac:dyDescent="0.25">
      <c r="A261" s="376" t="s">
        <v>85</v>
      </c>
      <c r="B261" s="378" t="s">
        <v>168</v>
      </c>
      <c r="C261" s="378" t="s">
        <v>70</v>
      </c>
      <c r="D261" s="378" t="s">
        <v>17</v>
      </c>
      <c r="E261" s="380" t="s">
        <v>30</v>
      </c>
      <c r="F261" s="126" t="s">
        <v>7</v>
      </c>
      <c r="G261" s="120">
        <f t="shared" ref="G261:M261" si="86">SUM(G262:G265)</f>
        <v>99089.39</v>
      </c>
      <c r="H261" s="120">
        <f t="shared" si="86"/>
        <v>7804.81</v>
      </c>
      <c r="I261" s="120">
        <f t="shared" si="86"/>
        <v>91284.58</v>
      </c>
      <c r="J261" s="121">
        <f t="shared" si="86"/>
        <v>91284.58</v>
      </c>
      <c r="K261" s="121">
        <f>I261-J261</f>
        <v>0</v>
      </c>
      <c r="L261" s="120">
        <f t="shared" si="86"/>
        <v>0</v>
      </c>
      <c r="M261" s="120">
        <f t="shared" si="86"/>
        <v>0</v>
      </c>
      <c r="N261" s="120">
        <f t="shared" si="81"/>
        <v>91284.58</v>
      </c>
      <c r="O261" s="120">
        <f>SUM(O262:O265)</f>
        <v>0</v>
      </c>
    </row>
    <row r="262" spans="1:15" outlineLevel="1" x14ac:dyDescent="0.25">
      <c r="A262" s="376"/>
      <c r="B262" s="378"/>
      <c r="C262" s="378"/>
      <c r="D262" s="378"/>
      <c r="E262" s="380"/>
      <c r="F262" s="132" t="s">
        <v>8</v>
      </c>
      <c r="G262" s="133">
        <f>SUM(H262:H262,N262:O262)</f>
        <v>0</v>
      </c>
      <c r="H262" s="137"/>
      <c r="I262" s="137"/>
      <c r="J262" s="138"/>
      <c r="K262" s="136">
        <f t="shared" ref="K262:K265" si="87">I262-J262</f>
        <v>0</v>
      </c>
      <c r="L262" s="137"/>
      <c r="M262" s="137"/>
      <c r="N262" s="120">
        <f t="shared" si="81"/>
        <v>0</v>
      </c>
      <c r="O262" s="137"/>
    </row>
    <row r="263" spans="1:15" outlineLevel="1" x14ac:dyDescent="0.25">
      <c r="A263" s="376"/>
      <c r="B263" s="378"/>
      <c r="C263" s="378"/>
      <c r="D263" s="378"/>
      <c r="E263" s="380"/>
      <c r="F263" s="132" t="s">
        <v>9</v>
      </c>
      <c r="G263" s="133">
        <f>SUM(H263:H263,N263:O263)</f>
        <v>0</v>
      </c>
      <c r="H263" s="137"/>
      <c r="I263" s="137"/>
      <c r="J263" s="138"/>
      <c r="K263" s="136">
        <f t="shared" si="87"/>
        <v>0</v>
      </c>
      <c r="L263" s="137"/>
      <c r="M263" s="137"/>
      <c r="N263" s="120">
        <f t="shared" si="81"/>
        <v>0</v>
      </c>
      <c r="O263" s="137"/>
    </row>
    <row r="264" spans="1:15" outlineLevel="1" x14ac:dyDescent="0.25">
      <c r="A264" s="376"/>
      <c r="B264" s="378"/>
      <c r="C264" s="378"/>
      <c r="D264" s="378"/>
      <c r="E264" s="380"/>
      <c r="F264" s="132" t="s">
        <v>10</v>
      </c>
      <c r="G264" s="133">
        <f>SUM(H264:H264,N264:O264)</f>
        <v>99089.39</v>
      </c>
      <c r="H264" s="137">
        <v>7804.81</v>
      </c>
      <c r="I264" s="137">
        <v>91284.58</v>
      </c>
      <c r="J264" s="138">
        <f>I264</f>
        <v>91284.58</v>
      </c>
      <c r="K264" s="136">
        <f t="shared" si="87"/>
        <v>0</v>
      </c>
      <c r="L264" s="137"/>
      <c r="M264" s="137"/>
      <c r="N264" s="120">
        <f t="shared" si="81"/>
        <v>91284.58</v>
      </c>
      <c r="O264" s="137"/>
    </row>
    <row r="265" spans="1:15" outlineLevel="1" x14ac:dyDescent="0.25">
      <c r="A265" s="376"/>
      <c r="B265" s="378"/>
      <c r="C265" s="378"/>
      <c r="D265" s="378"/>
      <c r="E265" s="380"/>
      <c r="F265" s="132" t="s">
        <v>11</v>
      </c>
      <c r="G265" s="133">
        <f>SUM(H265:H265,N265:O265)</f>
        <v>0</v>
      </c>
      <c r="H265" s="137"/>
      <c r="I265" s="137"/>
      <c r="J265" s="138"/>
      <c r="K265" s="136">
        <f t="shared" si="87"/>
        <v>0</v>
      </c>
      <c r="L265" s="137"/>
      <c r="M265" s="137"/>
      <c r="N265" s="120">
        <f t="shared" si="81"/>
        <v>0</v>
      </c>
      <c r="O265" s="137"/>
    </row>
    <row r="266" spans="1:15" outlineLevel="1" x14ac:dyDescent="0.25">
      <c r="A266" s="376" t="s">
        <v>86</v>
      </c>
      <c r="B266" s="378" t="s">
        <v>169</v>
      </c>
      <c r="C266" s="378" t="s">
        <v>71</v>
      </c>
      <c r="D266" s="378" t="s">
        <v>17</v>
      </c>
      <c r="E266" s="380" t="s">
        <v>35</v>
      </c>
      <c r="F266" s="126" t="s">
        <v>7</v>
      </c>
      <c r="G266" s="120">
        <f t="shared" ref="G266:M266" si="88">SUM(G267:G270)</f>
        <v>89872.27</v>
      </c>
      <c r="H266" s="120">
        <f t="shared" si="88"/>
        <v>0</v>
      </c>
      <c r="I266" s="120">
        <f t="shared" si="88"/>
        <v>5272.27</v>
      </c>
      <c r="J266" s="121">
        <f t="shared" si="88"/>
        <v>5272.27</v>
      </c>
      <c r="K266" s="121">
        <f>I266-J266</f>
        <v>0</v>
      </c>
      <c r="L266" s="120">
        <f t="shared" si="88"/>
        <v>24000</v>
      </c>
      <c r="M266" s="120">
        <f t="shared" si="88"/>
        <v>30000</v>
      </c>
      <c r="N266" s="120">
        <f t="shared" si="81"/>
        <v>59272.270000000004</v>
      </c>
      <c r="O266" s="120">
        <f>SUM(O267:O270)</f>
        <v>30600</v>
      </c>
    </row>
    <row r="267" spans="1:15" outlineLevel="1" x14ac:dyDescent="0.25">
      <c r="A267" s="376"/>
      <c r="B267" s="378"/>
      <c r="C267" s="378"/>
      <c r="D267" s="378"/>
      <c r="E267" s="380"/>
      <c r="F267" s="132" t="s">
        <v>8</v>
      </c>
      <c r="G267" s="133">
        <f>SUM(H267:H267,N267:O267)</f>
        <v>0</v>
      </c>
      <c r="H267" s="137"/>
      <c r="I267" s="137"/>
      <c r="J267" s="138"/>
      <c r="K267" s="136">
        <f t="shared" ref="K267:K270" si="89">I267-J267</f>
        <v>0</v>
      </c>
      <c r="L267" s="137"/>
      <c r="M267" s="137"/>
      <c r="N267" s="120">
        <f t="shared" si="81"/>
        <v>0</v>
      </c>
      <c r="O267" s="137"/>
    </row>
    <row r="268" spans="1:15" outlineLevel="1" x14ac:dyDescent="0.25">
      <c r="A268" s="376"/>
      <c r="B268" s="378"/>
      <c r="C268" s="378"/>
      <c r="D268" s="378"/>
      <c r="E268" s="380"/>
      <c r="F268" s="132" t="s">
        <v>9</v>
      </c>
      <c r="G268" s="133">
        <f>SUM(H268:H268,N268:O268)</f>
        <v>84600</v>
      </c>
      <c r="H268" s="137"/>
      <c r="I268" s="137"/>
      <c r="J268" s="138"/>
      <c r="K268" s="136">
        <f t="shared" si="89"/>
        <v>0</v>
      </c>
      <c r="L268" s="137">
        <v>24000</v>
      </c>
      <c r="M268" s="137">
        <v>30000</v>
      </c>
      <c r="N268" s="120">
        <f t="shared" si="81"/>
        <v>54000</v>
      </c>
      <c r="O268" s="137">
        <v>30600</v>
      </c>
    </row>
    <row r="269" spans="1:15" outlineLevel="1" x14ac:dyDescent="0.25">
      <c r="A269" s="376"/>
      <c r="B269" s="378"/>
      <c r="C269" s="378"/>
      <c r="D269" s="378"/>
      <c r="E269" s="380"/>
      <c r="F269" s="132" t="s">
        <v>10</v>
      </c>
      <c r="G269" s="133">
        <f>SUM(H269:H269,N269:O269)</f>
        <v>5272.27</v>
      </c>
      <c r="H269" s="137"/>
      <c r="I269" s="137">
        <v>5272.27</v>
      </c>
      <c r="J269" s="138">
        <v>5272.27</v>
      </c>
      <c r="K269" s="136">
        <f t="shared" si="89"/>
        <v>0</v>
      </c>
      <c r="L269" s="137"/>
      <c r="M269" s="137"/>
      <c r="N269" s="120">
        <f t="shared" si="81"/>
        <v>5272.27</v>
      </c>
      <c r="O269" s="137"/>
    </row>
    <row r="270" spans="1:15" outlineLevel="1" x14ac:dyDescent="0.25">
      <c r="A270" s="376"/>
      <c r="B270" s="378"/>
      <c r="C270" s="378"/>
      <c r="D270" s="378"/>
      <c r="E270" s="380"/>
      <c r="F270" s="132" t="s">
        <v>11</v>
      </c>
      <c r="G270" s="133">
        <f>SUM(H270:H270,N270:O270)</f>
        <v>0</v>
      </c>
      <c r="H270" s="137"/>
      <c r="I270" s="137"/>
      <c r="J270" s="138"/>
      <c r="K270" s="136">
        <f t="shared" si="89"/>
        <v>0</v>
      </c>
      <c r="L270" s="137"/>
      <c r="M270" s="137"/>
      <c r="N270" s="120">
        <f t="shared" si="81"/>
        <v>0</v>
      </c>
      <c r="O270" s="137"/>
    </row>
    <row r="271" spans="1:15" outlineLevel="1" x14ac:dyDescent="0.25">
      <c r="A271" s="376" t="s">
        <v>159</v>
      </c>
      <c r="B271" s="378" t="s">
        <v>152</v>
      </c>
      <c r="C271" s="378" t="s">
        <v>72</v>
      </c>
      <c r="D271" s="378" t="s">
        <v>77</v>
      </c>
      <c r="E271" s="380" t="s">
        <v>39</v>
      </c>
      <c r="F271" s="126" t="s">
        <v>7</v>
      </c>
      <c r="G271" s="120">
        <f>SUM(G272:G275)</f>
        <v>182365.25</v>
      </c>
      <c r="H271" s="120">
        <f>SUM(H272:H275)</f>
        <v>2465.25</v>
      </c>
      <c r="I271" s="120">
        <f>SUM(I272:I275)</f>
        <v>54000</v>
      </c>
      <c r="J271" s="121"/>
      <c r="K271" s="121">
        <f>I271-J271</f>
        <v>54000</v>
      </c>
      <c r="L271" s="120">
        <f>SUM(L272:L275)</f>
        <v>125900</v>
      </c>
      <c r="M271" s="120">
        <f>SUM(M272:M275)</f>
        <v>0</v>
      </c>
      <c r="N271" s="120">
        <f t="shared" si="81"/>
        <v>179900</v>
      </c>
      <c r="O271" s="120">
        <f>SUM(O272:O275)</f>
        <v>0</v>
      </c>
    </row>
    <row r="272" spans="1:15" outlineLevel="1" x14ac:dyDescent="0.25">
      <c r="A272" s="376"/>
      <c r="B272" s="378"/>
      <c r="C272" s="378"/>
      <c r="D272" s="378"/>
      <c r="E272" s="380"/>
      <c r="F272" s="132" t="s">
        <v>8</v>
      </c>
      <c r="G272" s="133">
        <f>SUM(H272:H272,N272:O272)</f>
        <v>0</v>
      </c>
      <c r="H272" s="137"/>
      <c r="I272" s="137"/>
      <c r="J272" s="138"/>
      <c r="K272" s="136">
        <f t="shared" ref="K272:K275" si="90">I272-J272</f>
        <v>0</v>
      </c>
      <c r="L272" s="137"/>
      <c r="M272" s="137"/>
      <c r="N272" s="120">
        <f t="shared" si="81"/>
        <v>0</v>
      </c>
      <c r="O272" s="137"/>
    </row>
    <row r="273" spans="1:27" outlineLevel="1" x14ac:dyDescent="0.25">
      <c r="A273" s="376"/>
      <c r="B273" s="378"/>
      <c r="C273" s="378"/>
      <c r="D273" s="378"/>
      <c r="E273" s="380"/>
      <c r="F273" s="132" t="s">
        <v>9</v>
      </c>
      <c r="G273" s="133">
        <f>SUM(H273:H273,N273:O273)</f>
        <v>179900</v>
      </c>
      <c r="H273" s="137"/>
      <c r="I273" s="137">
        <v>54000</v>
      </c>
      <c r="J273" s="138"/>
      <c r="K273" s="145">
        <f t="shared" si="90"/>
        <v>54000</v>
      </c>
      <c r="L273" s="137">
        <v>125900</v>
      </c>
      <c r="M273" s="137"/>
      <c r="N273" s="120">
        <f t="shared" si="81"/>
        <v>179900</v>
      </c>
      <c r="O273" s="137"/>
    </row>
    <row r="274" spans="1:27" outlineLevel="1" x14ac:dyDescent="0.25">
      <c r="A274" s="376"/>
      <c r="B274" s="378"/>
      <c r="C274" s="378"/>
      <c r="D274" s="378"/>
      <c r="E274" s="380"/>
      <c r="F274" s="132" t="s">
        <v>10</v>
      </c>
      <c r="G274" s="133">
        <f>SUM(H274:H274,N274:O274)</f>
        <v>2465.25</v>
      </c>
      <c r="H274" s="137">
        <v>2465.25</v>
      </c>
      <c r="I274" s="137"/>
      <c r="J274" s="138"/>
      <c r="K274" s="136">
        <f t="shared" si="90"/>
        <v>0</v>
      </c>
      <c r="L274" s="137"/>
      <c r="M274" s="137"/>
      <c r="N274" s="120">
        <f t="shared" si="81"/>
        <v>0</v>
      </c>
      <c r="O274" s="137"/>
    </row>
    <row r="275" spans="1:27" outlineLevel="1" x14ac:dyDescent="0.25">
      <c r="A275" s="376"/>
      <c r="B275" s="378"/>
      <c r="C275" s="378"/>
      <c r="D275" s="378"/>
      <c r="E275" s="380"/>
      <c r="F275" s="132" t="s">
        <v>11</v>
      </c>
      <c r="G275" s="133">
        <f>SUM(H275:H275,N275:O275)</f>
        <v>0</v>
      </c>
      <c r="H275" s="137"/>
      <c r="I275" s="137"/>
      <c r="J275" s="138"/>
      <c r="K275" s="136">
        <f t="shared" si="90"/>
        <v>0</v>
      </c>
      <c r="L275" s="137"/>
      <c r="M275" s="137"/>
      <c r="N275" s="120">
        <f t="shared" si="81"/>
        <v>0</v>
      </c>
      <c r="O275" s="137"/>
    </row>
    <row r="276" spans="1:27" outlineLevel="1" x14ac:dyDescent="0.25">
      <c r="A276" s="376" t="s">
        <v>160</v>
      </c>
      <c r="B276" s="378" t="s">
        <v>153</v>
      </c>
      <c r="C276" s="378" t="s">
        <v>73</v>
      </c>
      <c r="D276" s="378" t="s">
        <v>17</v>
      </c>
      <c r="E276" s="380" t="s">
        <v>19</v>
      </c>
      <c r="F276" s="126" t="s">
        <v>7</v>
      </c>
      <c r="G276" s="120">
        <f>SUM(G277:G280)</f>
        <v>66108</v>
      </c>
      <c r="H276" s="120">
        <f>SUM(H277:H280)</f>
        <v>0</v>
      </c>
      <c r="I276" s="120">
        <f>SUM(I277:I280)</f>
        <v>31108</v>
      </c>
      <c r="J276" s="121"/>
      <c r="K276" s="121">
        <f>I276-J276</f>
        <v>31108</v>
      </c>
      <c r="L276" s="120">
        <f>SUM(L277:L280)</f>
        <v>35000</v>
      </c>
      <c r="M276" s="120">
        <f>SUM(M277:M280)</f>
        <v>0</v>
      </c>
      <c r="N276" s="120">
        <f t="shared" si="81"/>
        <v>66108</v>
      </c>
      <c r="O276" s="120">
        <f>SUM(O277:O280)</f>
        <v>0</v>
      </c>
    </row>
    <row r="277" spans="1:27" outlineLevel="1" x14ac:dyDescent="0.25">
      <c r="A277" s="376"/>
      <c r="B277" s="378"/>
      <c r="C277" s="378"/>
      <c r="D277" s="378"/>
      <c r="E277" s="380"/>
      <c r="F277" s="132" t="s">
        <v>8</v>
      </c>
      <c r="G277" s="133">
        <f>SUM(H277:H277,N277:O277)</f>
        <v>0</v>
      </c>
      <c r="H277" s="137"/>
      <c r="I277" s="137"/>
      <c r="J277" s="138"/>
      <c r="K277" s="136">
        <f t="shared" ref="K277:K280" si="91">I277-J277</f>
        <v>0</v>
      </c>
      <c r="L277" s="137"/>
      <c r="M277" s="137"/>
      <c r="N277" s="120">
        <f t="shared" si="81"/>
        <v>0</v>
      </c>
      <c r="O277" s="137"/>
    </row>
    <row r="278" spans="1:27" outlineLevel="1" x14ac:dyDescent="0.25">
      <c r="A278" s="376"/>
      <c r="B278" s="378"/>
      <c r="C278" s="378"/>
      <c r="D278" s="378"/>
      <c r="E278" s="380"/>
      <c r="F278" s="132" t="s">
        <v>9</v>
      </c>
      <c r="G278" s="133">
        <f>SUM(H278:H278,N278:O278)</f>
        <v>35000</v>
      </c>
      <c r="H278" s="137"/>
      <c r="I278" s="137"/>
      <c r="J278" s="138"/>
      <c r="K278" s="136">
        <f t="shared" si="91"/>
        <v>0</v>
      </c>
      <c r="L278" s="32">
        <v>35000</v>
      </c>
      <c r="M278" s="137"/>
      <c r="N278" s="120">
        <f t="shared" si="81"/>
        <v>35000</v>
      </c>
      <c r="O278" s="137"/>
    </row>
    <row r="279" spans="1:27" outlineLevel="1" x14ac:dyDescent="0.25">
      <c r="A279" s="376"/>
      <c r="B279" s="378"/>
      <c r="C279" s="378"/>
      <c r="D279" s="378"/>
      <c r="E279" s="380"/>
      <c r="F279" s="132" t="s">
        <v>10</v>
      </c>
      <c r="G279" s="133">
        <f>SUM(H279:H279,N279:O279)</f>
        <v>31108</v>
      </c>
      <c r="H279" s="137"/>
      <c r="I279" s="137">
        <v>31108</v>
      </c>
      <c r="J279" s="138"/>
      <c r="K279" s="136">
        <f t="shared" si="91"/>
        <v>31108</v>
      </c>
      <c r="L279" s="137"/>
      <c r="M279" s="137"/>
      <c r="N279" s="120">
        <f t="shared" si="81"/>
        <v>31108</v>
      </c>
      <c r="O279" s="137"/>
    </row>
    <row r="280" spans="1:27" outlineLevel="1" x14ac:dyDescent="0.25">
      <c r="A280" s="376"/>
      <c r="B280" s="378"/>
      <c r="C280" s="378"/>
      <c r="D280" s="378"/>
      <c r="E280" s="380"/>
      <c r="F280" s="132" t="s">
        <v>11</v>
      </c>
      <c r="G280" s="133">
        <f>SUM(H280:H280,N280:O280)</f>
        <v>0</v>
      </c>
      <c r="H280" s="137"/>
      <c r="I280" s="137"/>
      <c r="J280" s="138"/>
      <c r="K280" s="136">
        <f t="shared" si="91"/>
        <v>0</v>
      </c>
      <c r="L280" s="137"/>
      <c r="M280" s="137"/>
      <c r="N280" s="120">
        <f t="shared" si="81"/>
        <v>0</v>
      </c>
      <c r="O280" s="137"/>
    </row>
    <row r="281" spans="1:27" s="47" customFormat="1" outlineLevel="1" x14ac:dyDescent="0.25">
      <c r="A281" s="371" t="s">
        <v>133</v>
      </c>
      <c r="B281" s="372" t="s">
        <v>111</v>
      </c>
      <c r="C281" s="372" t="s">
        <v>112</v>
      </c>
      <c r="D281" s="372" t="s">
        <v>77</v>
      </c>
      <c r="E281" s="373" t="s">
        <v>39</v>
      </c>
      <c r="F281" s="50" t="s">
        <v>7</v>
      </c>
      <c r="G281" s="51">
        <f t="shared" ref="G281:M281" si="92">SUM(G282:G285)</f>
        <v>524283.3</v>
      </c>
      <c r="H281" s="51">
        <f t="shared" si="92"/>
        <v>149283.29999999999</v>
      </c>
      <c r="I281" s="51">
        <f t="shared" si="92"/>
        <v>275000</v>
      </c>
      <c r="J281" s="154">
        <f t="shared" si="92"/>
        <v>275000</v>
      </c>
      <c r="K281" s="154">
        <f>I281-J281</f>
        <v>0</v>
      </c>
      <c r="L281" s="51">
        <f t="shared" si="92"/>
        <v>100000</v>
      </c>
      <c r="M281" s="51">
        <f t="shared" si="92"/>
        <v>0</v>
      </c>
      <c r="N281" s="51">
        <f t="shared" si="81"/>
        <v>375000</v>
      </c>
      <c r="O281" s="51">
        <f>SUM(O282:O285)</f>
        <v>0</v>
      </c>
      <c r="S281" s="149"/>
      <c r="T281" s="149"/>
      <c r="U281" s="149"/>
      <c r="V281" s="149"/>
      <c r="W281" s="149"/>
      <c r="X281" s="149"/>
      <c r="Y281" s="149"/>
      <c r="Z281" s="149"/>
      <c r="AA281" s="149"/>
    </row>
    <row r="282" spans="1:27" s="47" customFormat="1" outlineLevel="1" x14ac:dyDescent="0.25">
      <c r="A282" s="371"/>
      <c r="B282" s="372"/>
      <c r="C282" s="372"/>
      <c r="D282" s="372"/>
      <c r="E282" s="373"/>
      <c r="F282" s="52" t="s">
        <v>8</v>
      </c>
      <c r="G282" s="53">
        <f>SUM(H282:H282,N282:O282)</f>
        <v>0</v>
      </c>
      <c r="H282" s="53"/>
      <c r="I282" s="53"/>
      <c r="J282" s="155"/>
      <c r="K282" s="155">
        <f t="shared" ref="K282:K285" si="93">I282-J282</f>
        <v>0</v>
      </c>
      <c r="L282" s="53"/>
      <c r="M282" s="53"/>
      <c r="N282" s="51">
        <f t="shared" si="81"/>
        <v>0</v>
      </c>
      <c r="O282" s="53"/>
      <c r="S282" s="149"/>
      <c r="T282" s="149"/>
      <c r="U282" s="149"/>
      <c r="V282" s="149"/>
      <c r="W282" s="149"/>
      <c r="X282" s="149"/>
      <c r="Y282" s="149"/>
      <c r="Z282" s="149"/>
      <c r="AA282" s="149"/>
    </row>
    <row r="283" spans="1:27" s="47" customFormat="1" outlineLevel="1" x14ac:dyDescent="0.25">
      <c r="A283" s="371"/>
      <c r="B283" s="372"/>
      <c r="C283" s="372"/>
      <c r="D283" s="372"/>
      <c r="E283" s="373"/>
      <c r="F283" s="52" t="s">
        <v>9</v>
      </c>
      <c r="G283" s="53">
        <f>SUM(H283:H283,N283:O283)</f>
        <v>524283.3</v>
      </c>
      <c r="H283" s="53">
        <v>149283.29999999999</v>
      </c>
      <c r="I283" s="53">
        <v>275000</v>
      </c>
      <c r="J283" s="155">
        <v>275000</v>
      </c>
      <c r="K283" s="155">
        <f t="shared" si="93"/>
        <v>0</v>
      </c>
      <c r="L283" s="53">
        <v>100000</v>
      </c>
      <c r="M283" s="53"/>
      <c r="N283" s="51">
        <f t="shared" si="81"/>
        <v>375000</v>
      </c>
      <c r="O283" s="53"/>
      <c r="S283" s="149"/>
      <c r="T283" s="149"/>
      <c r="U283" s="149"/>
      <c r="V283" s="149"/>
      <c r="W283" s="149"/>
      <c r="X283" s="149"/>
      <c r="Y283" s="149"/>
      <c r="Z283" s="149"/>
      <c r="AA283" s="149"/>
    </row>
    <row r="284" spans="1:27" s="47" customFormat="1" outlineLevel="1" x14ac:dyDescent="0.25">
      <c r="A284" s="371"/>
      <c r="B284" s="372"/>
      <c r="C284" s="372"/>
      <c r="D284" s="372"/>
      <c r="E284" s="373"/>
      <c r="F284" s="52" t="s">
        <v>10</v>
      </c>
      <c r="G284" s="53">
        <f>SUM(H284:H284,N284:O284)</f>
        <v>0</v>
      </c>
      <c r="H284" s="53"/>
      <c r="I284" s="53"/>
      <c r="J284" s="155"/>
      <c r="K284" s="155">
        <f t="shared" si="93"/>
        <v>0</v>
      </c>
      <c r="L284" s="53"/>
      <c r="M284" s="53"/>
      <c r="N284" s="51">
        <f t="shared" si="81"/>
        <v>0</v>
      </c>
      <c r="O284" s="53"/>
      <c r="S284" s="149"/>
      <c r="T284" s="149"/>
      <c r="U284" s="149"/>
      <c r="V284" s="149"/>
      <c r="W284" s="149"/>
      <c r="X284" s="149"/>
      <c r="Y284" s="149"/>
      <c r="Z284" s="149"/>
      <c r="AA284" s="149"/>
    </row>
    <row r="285" spans="1:27" s="47" customFormat="1" outlineLevel="1" x14ac:dyDescent="0.25">
      <c r="A285" s="371"/>
      <c r="B285" s="372"/>
      <c r="C285" s="372"/>
      <c r="D285" s="372"/>
      <c r="E285" s="373"/>
      <c r="F285" s="52" t="s">
        <v>11</v>
      </c>
      <c r="G285" s="53">
        <f>SUM(H285:H285,N285:O285)</f>
        <v>0</v>
      </c>
      <c r="H285" s="53"/>
      <c r="I285" s="53"/>
      <c r="J285" s="155"/>
      <c r="K285" s="155">
        <f t="shared" si="93"/>
        <v>0</v>
      </c>
      <c r="L285" s="53"/>
      <c r="M285" s="53"/>
      <c r="N285" s="51">
        <f t="shared" si="81"/>
        <v>0</v>
      </c>
      <c r="O285" s="53"/>
      <c r="S285" s="149"/>
      <c r="T285" s="149"/>
      <c r="U285" s="149"/>
      <c r="V285" s="149"/>
      <c r="W285" s="149"/>
      <c r="X285" s="149"/>
      <c r="Y285" s="149"/>
      <c r="Z285" s="149"/>
      <c r="AA285" s="149"/>
    </row>
    <row r="286" spans="1:27" s="47" customFormat="1" outlineLevel="1" x14ac:dyDescent="0.25">
      <c r="A286" s="371" t="s">
        <v>134</v>
      </c>
      <c r="B286" s="372" t="s">
        <v>113</v>
      </c>
      <c r="C286" s="372" t="s">
        <v>114</v>
      </c>
      <c r="D286" s="372" t="s">
        <v>77</v>
      </c>
      <c r="E286" s="373" t="s">
        <v>115</v>
      </c>
      <c r="F286" s="50" t="s">
        <v>7</v>
      </c>
      <c r="G286" s="51">
        <f>SUM(G287:G290)</f>
        <v>430000</v>
      </c>
      <c r="H286" s="51">
        <f>SUM(H287:H290)</f>
        <v>0</v>
      </c>
      <c r="I286" s="51">
        <f>SUM(I287:I290)</f>
        <v>0</v>
      </c>
      <c r="J286" s="154"/>
      <c r="K286" s="154">
        <f>I286-J286</f>
        <v>0</v>
      </c>
      <c r="L286" s="51">
        <f>SUM(L287:L290)</f>
        <v>0</v>
      </c>
      <c r="M286" s="51">
        <f>SUM(M287:M290)</f>
        <v>15000</v>
      </c>
      <c r="N286" s="51">
        <f t="shared" si="81"/>
        <v>15000</v>
      </c>
      <c r="O286" s="51">
        <f>SUM(O287:O290)</f>
        <v>415000</v>
      </c>
      <c r="S286" s="149"/>
      <c r="T286" s="149"/>
      <c r="U286" s="149"/>
      <c r="V286" s="149"/>
      <c r="W286" s="149"/>
      <c r="X286" s="149"/>
      <c r="Y286" s="149"/>
      <c r="Z286" s="149"/>
      <c r="AA286" s="149"/>
    </row>
    <row r="287" spans="1:27" s="47" customFormat="1" outlineLevel="1" x14ac:dyDescent="0.25">
      <c r="A287" s="371"/>
      <c r="B287" s="372"/>
      <c r="C287" s="372"/>
      <c r="D287" s="372"/>
      <c r="E287" s="373"/>
      <c r="F287" s="52" t="s">
        <v>8</v>
      </c>
      <c r="G287" s="53">
        <f>SUM(H287:H287,N287:O287)</f>
        <v>0</v>
      </c>
      <c r="H287" s="53"/>
      <c r="I287" s="53"/>
      <c r="J287" s="155"/>
      <c r="K287" s="155">
        <f t="shared" ref="K287:K290" si="94">I287-J287</f>
        <v>0</v>
      </c>
      <c r="L287" s="53"/>
      <c r="M287" s="53"/>
      <c r="N287" s="51">
        <f t="shared" si="81"/>
        <v>0</v>
      </c>
      <c r="O287" s="53"/>
      <c r="S287" s="149"/>
      <c r="T287" s="149"/>
      <c r="U287" s="149"/>
      <c r="V287" s="149"/>
      <c r="W287" s="149"/>
      <c r="X287" s="149"/>
      <c r="Y287" s="149"/>
      <c r="Z287" s="149"/>
      <c r="AA287" s="149"/>
    </row>
    <row r="288" spans="1:27" s="47" customFormat="1" outlineLevel="1" x14ac:dyDescent="0.25">
      <c r="A288" s="371"/>
      <c r="B288" s="372"/>
      <c r="C288" s="372"/>
      <c r="D288" s="372"/>
      <c r="E288" s="373"/>
      <c r="F288" s="52" t="s">
        <v>9</v>
      </c>
      <c r="G288" s="53">
        <f>SUM(H288:H288,N288:O288)</f>
        <v>430000</v>
      </c>
      <c r="H288" s="53"/>
      <c r="I288" s="53"/>
      <c r="J288" s="155"/>
      <c r="K288" s="155">
        <f t="shared" si="94"/>
        <v>0</v>
      </c>
      <c r="L288" s="53"/>
      <c r="M288" s="53">
        <v>15000</v>
      </c>
      <c r="N288" s="51">
        <f t="shared" si="81"/>
        <v>15000</v>
      </c>
      <c r="O288" s="53">
        <v>415000</v>
      </c>
      <c r="S288" s="149"/>
      <c r="T288" s="149"/>
      <c r="U288" s="149"/>
      <c r="V288" s="149"/>
      <c r="W288" s="149"/>
      <c r="X288" s="149"/>
      <c r="Y288" s="149"/>
      <c r="Z288" s="149"/>
      <c r="AA288" s="149"/>
    </row>
    <row r="289" spans="1:27" s="47" customFormat="1" outlineLevel="1" x14ac:dyDescent="0.25">
      <c r="A289" s="371"/>
      <c r="B289" s="372"/>
      <c r="C289" s="372"/>
      <c r="D289" s="372"/>
      <c r="E289" s="373"/>
      <c r="F289" s="52" t="s">
        <v>10</v>
      </c>
      <c r="G289" s="53">
        <f>SUM(H289:H289,N289:O289)</f>
        <v>0</v>
      </c>
      <c r="H289" s="53"/>
      <c r="I289" s="53"/>
      <c r="J289" s="155"/>
      <c r="K289" s="155">
        <f t="shared" si="94"/>
        <v>0</v>
      </c>
      <c r="L289" s="53"/>
      <c r="M289" s="53"/>
      <c r="N289" s="51">
        <f t="shared" si="81"/>
        <v>0</v>
      </c>
      <c r="O289" s="53"/>
      <c r="S289" s="149"/>
      <c r="T289" s="149"/>
      <c r="U289" s="149"/>
      <c r="V289" s="149"/>
      <c r="W289" s="149"/>
      <c r="X289" s="149"/>
      <c r="Y289" s="149"/>
      <c r="Z289" s="149"/>
      <c r="AA289" s="149"/>
    </row>
    <row r="290" spans="1:27" s="47" customFormat="1" outlineLevel="1" x14ac:dyDescent="0.25">
      <c r="A290" s="371"/>
      <c r="B290" s="372"/>
      <c r="C290" s="372"/>
      <c r="D290" s="372"/>
      <c r="E290" s="373"/>
      <c r="F290" s="52" t="s">
        <v>11</v>
      </c>
      <c r="G290" s="53">
        <f>SUM(H290:H290,N290:O290)</f>
        <v>0</v>
      </c>
      <c r="H290" s="53"/>
      <c r="I290" s="53"/>
      <c r="J290" s="155"/>
      <c r="K290" s="155">
        <f t="shared" si="94"/>
        <v>0</v>
      </c>
      <c r="L290" s="53"/>
      <c r="M290" s="53"/>
      <c r="N290" s="51">
        <f t="shared" si="81"/>
        <v>0</v>
      </c>
      <c r="O290" s="53"/>
      <c r="S290" s="149"/>
      <c r="T290" s="149"/>
      <c r="U290" s="149"/>
      <c r="V290" s="149"/>
      <c r="W290" s="149"/>
      <c r="X290" s="149"/>
      <c r="Y290" s="149"/>
      <c r="Z290" s="149"/>
      <c r="AA290" s="149"/>
    </row>
    <row r="291" spans="1:27" s="47" customFormat="1" outlineLevel="1" x14ac:dyDescent="0.25">
      <c r="A291" s="371" t="s">
        <v>135</v>
      </c>
      <c r="B291" s="372" t="s">
        <v>116</v>
      </c>
      <c r="C291" s="372" t="s">
        <v>114</v>
      </c>
      <c r="D291" s="372" t="s">
        <v>77</v>
      </c>
      <c r="E291" s="373" t="s">
        <v>117</v>
      </c>
      <c r="F291" s="50" t="s">
        <v>7</v>
      </c>
      <c r="G291" s="51">
        <f>SUM(G292:G295)</f>
        <v>430000</v>
      </c>
      <c r="H291" s="51">
        <f>SUM(H292:H295)</f>
        <v>0</v>
      </c>
      <c r="I291" s="51">
        <f>SUM(I292:I295)</f>
        <v>0</v>
      </c>
      <c r="J291" s="154"/>
      <c r="K291" s="154">
        <f>I291-J291</f>
        <v>0</v>
      </c>
      <c r="L291" s="51">
        <f>SUM(L292:L295)</f>
        <v>0</v>
      </c>
      <c r="M291" s="51">
        <f>SUM(M292:M295)</f>
        <v>0</v>
      </c>
      <c r="N291" s="51">
        <f t="shared" si="81"/>
        <v>0</v>
      </c>
      <c r="O291" s="51">
        <f>SUM(O292:O295)</f>
        <v>430000</v>
      </c>
      <c r="S291" s="149"/>
      <c r="T291" s="149"/>
      <c r="U291" s="149"/>
      <c r="V291" s="149"/>
      <c r="W291" s="149"/>
      <c r="X291" s="149"/>
      <c r="Y291" s="149"/>
      <c r="Z291" s="149"/>
      <c r="AA291" s="149"/>
    </row>
    <row r="292" spans="1:27" s="47" customFormat="1" outlineLevel="1" x14ac:dyDescent="0.25">
      <c r="A292" s="371"/>
      <c r="B292" s="372"/>
      <c r="C292" s="372"/>
      <c r="D292" s="372"/>
      <c r="E292" s="373"/>
      <c r="F292" s="52" t="s">
        <v>8</v>
      </c>
      <c r="G292" s="53">
        <f>SUM(H292:H292,N292:O292)</f>
        <v>0</v>
      </c>
      <c r="H292" s="53"/>
      <c r="I292" s="53"/>
      <c r="J292" s="155"/>
      <c r="K292" s="155">
        <f t="shared" ref="K292:K295" si="95">I292-J292</f>
        <v>0</v>
      </c>
      <c r="L292" s="53"/>
      <c r="M292" s="53"/>
      <c r="N292" s="51">
        <f t="shared" si="81"/>
        <v>0</v>
      </c>
      <c r="O292" s="53"/>
      <c r="S292" s="149"/>
      <c r="T292" s="149"/>
      <c r="U292" s="149"/>
      <c r="V292" s="149"/>
      <c r="W292" s="149"/>
      <c r="X292" s="149"/>
      <c r="Y292" s="149"/>
      <c r="Z292" s="149"/>
      <c r="AA292" s="149"/>
    </row>
    <row r="293" spans="1:27" s="47" customFormat="1" outlineLevel="1" x14ac:dyDescent="0.25">
      <c r="A293" s="371"/>
      <c r="B293" s="372"/>
      <c r="C293" s="372"/>
      <c r="D293" s="372"/>
      <c r="E293" s="373"/>
      <c r="F293" s="52" t="s">
        <v>9</v>
      </c>
      <c r="G293" s="53">
        <f>SUM(H293:H293,N293:O293)</f>
        <v>430000</v>
      </c>
      <c r="H293" s="53"/>
      <c r="I293" s="53"/>
      <c r="J293" s="155"/>
      <c r="K293" s="155">
        <f t="shared" si="95"/>
        <v>0</v>
      </c>
      <c r="L293" s="53"/>
      <c r="M293" s="53"/>
      <c r="N293" s="51">
        <f t="shared" si="81"/>
        <v>0</v>
      </c>
      <c r="O293" s="53">
        <v>430000</v>
      </c>
      <c r="S293" s="149"/>
      <c r="T293" s="149"/>
      <c r="U293" s="149"/>
      <c r="V293" s="149"/>
      <c r="W293" s="149"/>
      <c r="X293" s="149"/>
      <c r="Y293" s="149"/>
      <c r="Z293" s="149"/>
      <c r="AA293" s="149"/>
    </row>
    <row r="294" spans="1:27" s="47" customFormat="1" outlineLevel="1" x14ac:dyDescent="0.25">
      <c r="A294" s="371"/>
      <c r="B294" s="372"/>
      <c r="C294" s="372"/>
      <c r="D294" s="372"/>
      <c r="E294" s="373"/>
      <c r="F294" s="52" t="s">
        <v>10</v>
      </c>
      <c r="G294" s="53">
        <f>SUM(H294:H294,N294:O294)</f>
        <v>0</v>
      </c>
      <c r="H294" s="53"/>
      <c r="I294" s="53"/>
      <c r="J294" s="155"/>
      <c r="K294" s="155">
        <f t="shared" si="95"/>
        <v>0</v>
      </c>
      <c r="L294" s="53"/>
      <c r="M294" s="53"/>
      <c r="N294" s="51">
        <f t="shared" si="81"/>
        <v>0</v>
      </c>
      <c r="O294" s="53"/>
      <c r="S294" s="149"/>
      <c r="T294" s="149"/>
      <c r="U294" s="149"/>
      <c r="V294" s="149"/>
      <c r="W294" s="149"/>
      <c r="X294" s="149"/>
      <c r="Y294" s="149"/>
      <c r="Z294" s="149"/>
      <c r="AA294" s="149"/>
    </row>
    <row r="295" spans="1:27" s="47" customFormat="1" outlineLevel="1" x14ac:dyDescent="0.25">
      <c r="A295" s="371"/>
      <c r="B295" s="372"/>
      <c r="C295" s="372"/>
      <c r="D295" s="372"/>
      <c r="E295" s="373"/>
      <c r="F295" s="52" t="s">
        <v>11</v>
      </c>
      <c r="G295" s="53">
        <f>SUM(H295:H295,N295:O295)</f>
        <v>0</v>
      </c>
      <c r="H295" s="53"/>
      <c r="I295" s="53"/>
      <c r="J295" s="155"/>
      <c r="K295" s="155">
        <f t="shared" si="95"/>
        <v>0</v>
      </c>
      <c r="L295" s="53"/>
      <c r="M295" s="53"/>
      <c r="N295" s="51">
        <f t="shared" si="81"/>
        <v>0</v>
      </c>
      <c r="O295" s="53"/>
      <c r="S295" s="149"/>
      <c r="T295" s="149"/>
      <c r="U295" s="149"/>
      <c r="V295" s="149"/>
      <c r="W295" s="149"/>
      <c r="X295" s="149"/>
      <c r="Y295" s="149"/>
      <c r="Z295" s="149"/>
      <c r="AA295" s="149"/>
    </row>
    <row r="296" spans="1:27" s="47" customFormat="1" outlineLevel="1" x14ac:dyDescent="0.25">
      <c r="A296" s="371" t="s">
        <v>247</v>
      </c>
      <c r="B296" s="372" t="s">
        <v>248</v>
      </c>
      <c r="C296" s="372" t="s">
        <v>249</v>
      </c>
      <c r="D296" s="372" t="s">
        <v>17</v>
      </c>
      <c r="E296" s="373">
        <v>2022</v>
      </c>
      <c r="F296" s="50" t="s">
        <v>7</v>
      </c>
      <c r="G296" s="51">
        <f>SUM(G297:G300)</f>
        <v>11791.91</v>
      </c>
      <c r="H296" s="51">
        <f>SUM(H297:H300)</f>
        <v>11791.91</v>
      </c>
      <c r="I296" s="51">
        <f>SUM(I297:I300)</f>
        <v>0</v>
      </c>
      <c r="J296" s="154"/>
      <c r="K296" s="154">
        <f>I296-J296</f>
        <v>0</v>
      </c>
      <c r="L296" s="51">
        <f>SUM(L297:L300)</f>
        <v>0</v>
      </c>
      <c r="M296" s="51">
        <f>SUM(M297:M300)</f>
        <v>0</v>
      </c>
      <c r="N296" s="51">
        <f t="shared" si="81"/>
        <v>0</v>
      </c>
      <c r="O296" s="51">
        <f>SUM(O297:O300)</f>
        <v>0</v>
      </c>
      <c r="S296" s="149"/>
      <c r="T296" s="149"/>
      <c r="U296" s="149"/>
      <c r="V296" s="149"/>
      <c r="W296" s="149"/>
      <c r="X296" s="149"/>
      <c r="Y296" s="149"/>
      <c r="Z296" s="149"/>
      <c r="AA296" s="149"/>
    </row>
    <row r="297" spans="1:27" s="47" customFormat="1" outlineLevel="1" x14ac:dyDescent="0.25">
      <c r="A297" s="371"/>
      <c r="B297" s="372"/>
      <c r="C297" s="372"/>
      <c r="D297" s="372"/>
      <c r="E297" s="373"/>
      <c r="F297" s="52" t="s">
        <v>8</v>
      </c>
      <c r="G297" s="53">
        <f>SUM(H297:H297,N297:O297)</f>
        <v>0</v>
      </c>
      <c r="H297" s="56"/>
      <c r="I297" s="56"/>
      <c r="J297" s="158"/>
      <c r="K297" s="155">
        <f t="shared" ref="K297:K300" si="96">I297-J297</f>
        <v>0</v>
      </c>
      <c r="L297" s="56"/>
      <c r="M297" s="56"/>
      <c r="N297" s="51">
        <f t="shared" si="81"/>
        <v>0</v>
      </c>
      <c r="O297" s="56"/>
      <c r="S297" s="149"/>
      <c r="T297" s="149"/>
      <c r="U297" s="149"/>
      <c r="V297" s="149"/>
      <c r="W297" s="149"/>
      <c r="X297" s="149"/>
      <c r="Y297" s="149"/>
      <c r="Z297" s="149"/>
      <c r="AA297" s="149"/>
    </row>
    <row r="298" spans="1:27" s="47" customFormat="1" outlineLevel="1" x14ac:dyDescent="0.25">
      <c r="A298" s="371"/>
      <c r="B298" s="372"/>
      <c r="C298" s="372"/>
      <c r="D298" s="372"/>
      <c r="E298" s="373"/>
      <c r="F298" s="52" t="s">
        <v>9</v>
      </c>
      <c r="G298" s="53">
        <f>SUM(H298:H298,N298:O298)</f>
        <v>0</v>
      </c>
      <c r="H298" s="56"/>
      <c r="I298" s="56"/>
      <c r="J298" s="158"/>
      <c r="K298" s="155">
        <f t="shared" si="96"/>
        <v>0</v>
      </c>
      <c r="L298" s="56"/>
      <c r="M298" s="56"/>
      <c r="N298" s="51">
        <f t="shared" si="81"/>
        <v>0</v>
      </c>
      <c r="O298" s="56"/>
      <c r="S298" s="149"/>
      <c r="T298" s="149"/>
      <c r="U298" s="149"/>
      <c r="V298" s="149"/>
      <c r="W298" s="149"/>
      <c r="X298" s="149"/>
      <c r="Y298" s="149"/>
      <c r="Z298" s="149"/>
      <c r="AA298" s="149"/>
    </row>
    <row r="299" spans="1:27" s="47" customFormat="1" outlineLevel="1" x14ac:dyDescent="0.25">
      <c r="A299" s="371"/>
      <c r="B299" s="372"/>
      <c r="C299" s="372"/>
      <c r="D299" s="372"/>
      <c r="E299" s="373"/>
      <c r="F299" s="52" t="s">
        <v>10</v>
      </c>
      <c r="G299" s="53">
        <f>SUM(H299:H299,N299:O299)</f>
        <v>11791.91</v>
      </c>
      <c r="H299" s="56">
        <v>11791.91</v>
      </c>
      <c r="I299" s="56"/>
      <c r="J299" s="158"/>
      <c r="K299" s="155">
        <f t="shared" si="96"/>
        <v>0</v>
      </c>
      <c r="L299" s="56"/>
      <c r="M299" s="56"/>
      <c r="N299" s="51">
        <f t="shared" si="81"/>
        <v>0</v>
      </c>
      <c r="O299" s="56"/>
      <c r="S299" s="149"/>
      <c r="T299" s="149"/>
      <c r="U299" s="149"/>
      <c r="V299" s="149"/>
      <c r="W299" s="149"/>
      <c r="X299" s="149"/>
      <c r="Y299" s="149"/>
      <c r="Z299" s="149"/>
      <c r="AA299" s="149"/>
    </row>
    <row r="300" spans="1:27" s="47" customFormat="1" outlineLevel="1" x14ac:dyDescent="0.25">
      <c r="A300" s="371"/>
      <c r="B300" s="372"/>
      <c r="C300" s="372"/>
      <c r="D300" s="372"/>
      <c r="E300" s="373"/>
      <c r="F300" s="52" t="s">
        <v>11</v>
      </c>
      <c r="G300" s="53">
        <f>SUM(H300:H300,N300:O300)</f>
        <v>0</v>
      </c>
      <c r="H300" s="56"/>
      <c r="I300" s="56"/>
      <c r="J300" s="158"/>
      <c r="K300" s="155">
        <f t="shared" si="96"/>
        <v>0</v>
      </c>
      <c r="L300" s="56"/>
      <c r="M300" s="56"/>
      <c r="N300" s="51">
        <f t="shared" si="81"/>
        <v>0</v>
      </c>
      <c r="O300" s="56"/>
      <c r="S300" s="149"/>
      <c r="T300" s="149"/>
      <c r="U300" s="149"/>
      <c r="V300" s="149"/>
      <c r="W300" s="149"/>
      <c r="X300" s="149"/>
      <c r="Y300" s="149"/>
      <c r="Z300" s="149"/>
      <c r="AA300" s="149"/>
    </row>
    <row r="301" spans="1:27" s="47" customFormat="1" outlineLevel="1" x14ac:dyDescent="0.25">
      <c r="A301" s="371" t="s">
        <v>136</v>
      </c>
      <c r="B301" s="372" t="s">
        <v>118</v>
      </c>
      <c r="C301" s="372" t="s">
        <v>119</v>
      </c>
      <c r="D301" s="372" t="s">
        <v>17</v>
      </c>
      <c r="E301" s="373" t="s">
        <v>24</v>
      </c>
      <c r="F301" s="50" t="s">
        <v>7</v>
      </c>
      <c r="G301" s="51">
        <f>SUM(G302:G305)</f>
        <v>51785.05</v>
      </c>
      <c r="H301" s="51">
        <f>SUM(H302:H305)</f>
        <v>0</v>
      </c>
      <c r="I301" s="51">
        <f>SUM(I302:I305)</f>
        <v>0</v>
      </c>
      <c r="J301" s="154"/>
      <c r="K301" s="154">
        <f>I301-J301</f>
        <v>0</v>
      </c>
      <c r="L301" s="51">
        <f>SUM(L302:L305)</f>
        <v>1785.05</v>
      </c>
      <c r="M301" s="51">
        <f>SUM(M302:M305)</f>
        <v>24000</v>
      </c>
      <c r="N301" s="51">
        <f t="shared" si="81"/>
        <v>25785.05</v>
      </c>
      <c r="O301" s="51">
        <f>SUM(O302:O305)</f>
        <v>26000</v>
      </c>
      <c r="S301" s="149"/>
      <c r="T301" s="149"/>
      <c r="U301" s="149"/>
      <c r="V301" s="149"/>
      <c r="W301" s="149"/>
      <c r="X301" s="149"/>
      <c r="Y301" s="149"/>
      <c r="Z301" s="149"/>
      <c r="AA301" s="149"/>
    </row>
    <row r="302" spans="1:27" s="47" customFormat="1" outlineLevel="1" x14ac:dyDescent="0.25">
      <c r="A302" s="371"/>
      <c r="B302" s="372"/>
      <c r="C302" s="372"/>
      <c r="D302" s="372"/>
      <c r="E302" s="373"/>
      <c r="F302" s="52" t="s">
        <v>8</v>
      </c>
      <c r="G302" s="53">
        <f>SUM(H302:H302,N302:O302)</f>
        <v>0</v>
      </c>
      <c r="H302" s="56"/>
      <c r="I302" s="56"/>
      <c r="J302" s="158"/>
      <c r="K302" s="155">
        <f t="shared" ref="K302:K305" si="97">I302-J302</f>
        <v>0</v>
      </c>
      <c r="L302" s="56"/>
      <c r="M302" s="56"/>
      <c r="N302" s="51">
        <f t="shared" si="81"/>
        <v>0</v>
      </c>
      <c r="O302" s="56"/>
      <c r="S302" s="149"/>
      <c r="T302" s="149"/>
      <c r="U302" s="149"/>
      <c r="V302" s="149"/>
      <c r="W302" s="149"/>
      <c r="X302" s="149"/>
      <c r="Y302" s="149"/>
      <c r="Z302" s="149"/>
      <c r="AA302" s="149"/>
    </row>
    <row r="303" spans="1:27" s="47" customFormat="1" outlineLevel="1" x14ac:dyDescent="0.25">
      <c r="A303" s="371"/>
      <c r="B303" s="372"/>
      <c r="C303" s="372"/>
      <c r="D303" s="372"/>
      <c r="E303" s="373"/>
      <c r="F303" s="52" t="s">
        <v>9</v>
      </c>
      <c r="G303" s="53">
        <f>SUM(H303:H303,N303:O303)</f>
        <v>50000</v>
      </c>
      <c r="H303" s="56"/>
      <c r="I303" s="56"/>
      <c r="J303" s="158"/>
      <c r="K303" s="155">
        <f t="shared" si="97"/>
        <v>0</v>
      </c>
      <c r="L303" s="56"/>
      <c r="M303" s="56">
        <v>24000</v>
      </c>
      <c r="N303" s="51">
        <f t="shared" si="81"/>
        <v>24000</v>
      </c>
      <c r="O303" s="56">
        <v>26000</v>
      </c>
      <c r="S303" s="149"/>
      <c r="T303" s="149"/>
      <c r="U303" s="149"/>
      <c r="V303" s="149"/>
      <c r="W303" s="149"/>
      <c r="X303" s="149"/>
      <c r="Y303" s="149"/>
      <c r="Z303" s="149"/>
      <c r="AA303" s="149"/>
    </row>
    <row r="304" spans="1:27" s="47" customFormat="1" outlineLevel="1" x14ac:dyDescent="0.25">
      <c r="A304" s="371"/>
      <c r="B304" s="372"/>
      <c r="C304" s="372"/>
      <c r="D304" s="372"/>
      <c r="E304" s="373"/>
      <c r="F304" s="52" t="s">
        <v>10</v>
      </c>
      <c r="G304" s="53">
        <f>SUM(H304:H304,N304:O304)</f>
        <v>1785.05</v>
      </c>
      <c r="H304" s="56"/>
      <c r="I304" s="56"/>
      <c r="J304" s="158"/>
      <c r="K304" s="155">
        <f t="shared" si="97"/>
        <v>0</v>
      </c>
      <c r="L304" s="56">
        <v>1785.05</v>
      </c>
      <c r="M304" s="56"/>
      <c r="N304" s="51">
        <f t="shared" si="81"/>
        <v>1785.05</v>
      </c>
      <c r="O304" s="56"/>
      <c r="S304" s="149"/>
      <c r="T304" s="149"/>
      <c r="U304" s="149"/>
      <c r="V304" s="149"/>
      <c r="W304" s="149"/>
      <c r="X304" s="149"/>
      <c r="Y304" s="149"/>
      <c r="Z304" s="149"/>
      <c r="AA304" s="149"/>
    </row>
    <row r="305" spans="1:27" s="47" customFormat="1" outlineLevel="1" x14ac:dyDescent="0.25">
      <c r="A305" s="371"/>
      <c r="B305" s="372"/>
      <c r="C305" s="372"/>
      <c r="D305" s="372"/>
      <c r="E305" s="373"/>
      <c r="F305" s="52" t="s">
        <v>11</v>
      </c>
      <c r="G305" s="53">
        <f>SUM(H305:H305,N305:O305)</f>
        <v>0</v>
      </c>
      <c r="H305" s="56"/>
      <c r="I305" s="56"/>
      <c r="J305" s="158"/>
      <c r="K305" s="155">
        <f t="shared" si="97"/>
        <v>0</v>
      </c>
      <c r="L305" s="56"/>
      <c r="M305" s="56"/>
      <c r="N305" s="51">
        <f t="shared" si="81"/>
        <v>0</v>
      </c>
      <c r="O305" s="56"/>
      <c r="S305" s="149"/>
      <c r="T305" s="149"/>
      <c r="U305" s="149"/>
      <c r="V305" s="149"/>
      <c r="W305" s="149"/>
      <c r="X305" s="149"/>
      <c r="Y305" s="149"/>
      <c r="Z305" s="149"/>
      <c r="AA305" s="149"/>
    </row>
    <row r="306" spans="1:27" s="47" customFormat="1" outlineLevel="1" x14ac:dyDescent="0.25">
      <c r="A306" s="371" t="s">
        <v>137</v>
      </c>
      <c r="B306" s="372" t="s">
        <v>120</v>
      </c>
      <c r="C306" s="372" t="s">
        <v>121</v>
      </c>
      <c r="D306" s="372" t="s">
        <v>17</v>
      </c>
      <c r="E306" s="373" t="s">
        <v>122</v>
      </c>
      <c r="F306" s="50" t="s">
        <v>7</v>
      </c>
      <c r="G306" s="51">
        <f>SUM(G307:G310)</f>
        <v>64187.92</v>
      </c>
      <c r="H306" s="51">
        <f>SUM(H307:H310)</f>
        <v>8187.92</v>
      </c>
      <c r="I306" s="174">
        <f>SUM(I307:I310)</f>
        <v>0</v>
      </c>
      <c r="J306" s="154"/>
      <c r="K306" s="154">
        <f>I306-J306</f>
        <v>0</v>
      </c>
      <c r="L306" s="51">
        <f>SUM(L307:L310)</f>
        <v>0</v>
      </c>
      <c r="M306" s="51">
        <f>SUM(M307:M310)</f>
        <v>2000</v>
      </c>
      <c r="N306" s="51">
        <f t="shared" si="81"/>
        <v>2000</v>
      </c>
      <c r="O306" s="51">
        <f>SUM(O307:O310)</f>
        <v>54000</v>
      </c>
      <c r="S306" s="149"/>
      <c r="T306" s="149"/>
      <c r="U306" s="149"/>
      <c r="V306" s="149"/>
      <c r="W306" s="149"/>
      <c r="X306" s="149"/>
      <c r="Y306" s="149"/>
      <c r="Z306" s="149"/>
      <c r="AA306" s="149"/>
    </row>
    <row r="307" spans="1:27" s="47" customFormat="1" outlineLevel="1" x14ac:dyDescent="0.25">
      <c r="A307" s="371"/>
      <c r="B307" s="372"/>
      <c r="C307" s="372"/>
      <c r="D307" s="372"/>
      <c r="E307" s="373"/>
      <c r="F307" s="52" t="s">
        <v>8</v>
      </c>
      <c r="G307" s="53">
        <f>SUM(H307:H307,N307:O307)</f>
        <v>0</v>
      </c>
      <c r="H307" s="56"/>
      <c r="I307" s="175"/>
      <c r="J307" s="158"/>
      <c r="K307" s="155">
        <f t="shared" ref="K307:K310" si="98">I307-J307</f>
        <v>0</v>
      </c>
      <c r="L307" s="56"/>
      <c r="M307" s="56"/>
      <c r="N307" s="51">
        <f t="shared" si="81"/>
        <v>0</v>
      </c>
      <c r="O307" s="56"/>
      <c r="S307" s="149"/>
      <c r="T307" s="149"/>
      <c r="U307" s="149"/>
      <c r="V307" s="149"/>
      <c r="W307" s="149"/>
      <c r="X307" s="149"/>
      <c r="Y307" s="149"/>
      <c r="Z307" s="149"/>
      <c r="AA307" s="149"/>
    </row>
    <row r="308" spans="1:27" s="47" customFormat="1" outlineLevel="1" x14ac:dyDescent="0.25">
      <c r="A308" s="371"/>
      <c r="B308" s="372"/>
      <c r="C308" s="372"/>
      <c r="D308" s="372"/>
      <c r="E308" s="373"/>
      <c r="F308" s="52" t="s">
        <v>9</v>
      </c>
      <c r="G308" s="53">
        <f>SUM(H308:H308,N308:O308)</f>
        <v>54000</v>
      </c>
      <c r="H308" s="56"/>
      <c r="I308" s="175"/>
      <c r="J308" s="158"/>
      <c r="K308" s="155">
        <f t="shared" si="98"/>
        <v>0</v>
      </c>
      <c r="L308" s="56"/>
      <c r="M308" s="56"/>
      <c r="N308" s="51">
        <f t="shared" si="81"/>
        <v>0</v>
      </c>
      <c r="O308" s="56">
        <v>54000</v>
      </c>
      <c r="S308" s="149"/>
      <c r="T308" s="149"/>
      <c r="U308" s="149"/>
      <c r="V308" s="149"/>
      <c r="W308" s="149"/>
      <c r="X308" s="149"/>
      <c r="Y308" s="149"/>
      <c r="Z308" s="149"/>
      <c r="AA308" s="149"/>
    </row>
    <row r="309" spans="1:27" s="47" customFormat="1" outlineLevel="1" x14ac:dyDescent="0.25">
      <c r="A309" s="371"/>
      <c r="B309" s="372"/>
      <c r="C309" s="372"/>
      <c r="D309" s="372"/>
      <c r="E309" s="373"/>
      <c r="F309" s="52" t="s">
        <v>10</v>
      </c>
      <c r="G309" s="53">
        <f>SUM(H309:H309,N309:O309)</f>
        <v>10187.92</v>
      </c>
      <c r="H309" s="56">
        <v>8187.92</v>
      </c>
      <c r="I309" s="175"/>
      <c r="J309" s="158"/>
      <c r="K309" s="155">
        <f t="shared" si="98"/>
        <v>0</v>
      </c>
      <c r="L309" s="56"/>
      <c r="M309" s="56">
        <v>2000</v>
      </c>
      <c r="N309" s="51">
        <f t="shared" si="81"/>
        <v>2000</v>
      </c>
      <c r="O309" s="56"/>
      <c r="S309" s="149"/>
      <c r="T309" s="149"/>
      <c r="U309" s="149"/>
      <c r="V309" s="149"/>
      <c r="W309" s="149"/>
      <c r="X309" s="149"/>
      <c r="Y309" s="149"/>
      <c r="Z309" s="149"/>
      <c r="AA309" s="149"/>
    </row>
    <row r="310" spans="1:27" s="47" customFormat="1" outlineLevel="1" x14ac:dyDescent="0.25">
      <c r="A310" s="371"/>
      <c r="B310" s="372"/>
      <c r="C310" s="372"/>
      <c r="D310" s="372"/>
      <c r="E310" s="373"/>
      <c r="F310" s="52" t="s">
        <v>11</v>
      </c>
      <c r="G310" s="53">
        <f>SUM(H310:H310,N310:O310)</f>
        <v>0</v>
      </c>
      <c r="H310" s="56"/>
      <c r="I310" s="56"/>
      <c r="J310" s="158"/>
      <c r="K310" s="155">
        <f t="shared" si="98"/>
        <v>0</v>
      </c>
      <c r="L310" s="56"/>
      <c r="M310" s="56"/>
      <c r="N310" s="51">
        <f t="shared" si="81"/>
        <v>0</v>
      </c>
      <c r="O310" s="56"/>
      <c r="S310" s="149"/>
      <c r="T310" s="149"/>
      <c r="U310" s="149"/>
      <c r="V310" s="149"/>
      <c r="W310" s="149"/>
      <c r="X310" s="149"/>
      <c r="Y310" s="149"/>
      <c r="Z310" s="149"/>
      <c r="AA310" s="149"/>
    </row>
    <row r="311" spans="1:27" s="47" customFormat="1" outlineLevel="1" x14ac:dyDescent="0.25">
      <c r="A311" s="371" t="s">
        <v>138</v>
      </c>
      <c r="B311" s="372" t="s">
        <v>123</v>
      </c>
      <c r="C311" s="372" t="s">
        <v>124</v>
      </c>
      <c r="D311" s="372" t="s">
        <v>17</v>
      </c>
      <c r="E311" s="373" t="s">
        <v>125</v>
      </c>
      <c r="F311" s="50" t="s">
        <v>7</v>
      </c>
      <c r="G311" s="51">
        <f>SUM(G312:G315)</f>
        <v>18422</v>
      </c>
      <c r="H311" s="51">
        <f>SUM(H312:H315)</f>
        <v>0</v>
      </c>
      <c r="I311" s="51">
        <f>SUM(I312:I315)</f>
        <v>0</v>
      </c>
      <c r="J311" s="154"/>
      <c r="K311" s="154">
        <f>I311-J311</f>
        <v>0</v>
      </c>
      <c r="L311" s="51">
        <f>SUM(L312:L315)</f>
        <v>0</v>
      </c>
      <c r="M311" s="51">
        <f>SUM(M312:M315)</f>
        <v>1000</v>
      </c>
      <c r="N311" s="51">
        <f t="shared" si="81"/>
        <v>1000</v>
      </c>
      <c r="O311" s="51">
        <f>SUM(O312:O315)</f>
        <v>17422</v>
      </c>
      <c r="S311" s="149"/>
      <c r="T311" s="149"/>
      <c r="U311" s="149"/>
      <c r="V311" s="149"/>
      <c r="W311" s="149"/>
      <c r="X311" s="149"/>
      <c r="Y311" s="149"/>
      <c r="Z311" s="149"/>
      <c r="AA311" s="149"/>
    </row>
    <row r="312" spans="1:27" s="47" customFormat="1" outlineLevel="1" x14ac:dyDescent="0.25">
      <c r="A312" s="371"/>
      <c r="B312" s="372"/>
      <c r="C312" s="372"/>
      <c r="D312" s="372"/>
      <c r="E312" s="373"/>
      <c r="F312" s="52" t="s">
        <v>8</v>
      </c>
      <c r="G312" s="53">
        <f>SUM(H312:H312,N312:O312)</f>
        <v>0</v>
      </c>
      <c r="H312" s="56"/>
      <c r="I312" s="56"/>
      <c r="J312" s="158"/>
      <c r="K312" s="155">
        <f t="shared" ref="K312:K315" si="99">I312-J312</f>
        <v>0</v>
      </c>
      <c r="L312" s="56"/>
      <c r="M312" s="56"/>
      <c r="N312" s="51">
        <f t="shared" si="81"/>
        <v>0</v>
      </c>
      <c r="O312" s="56"/>
      <c r="S312" s="149"/>
      <c r="T312" s="149"/>
      <c r="U312" s="149"/>
      <c r="V312" s="149"/>
      <c r="W312" s="149"/>
      <c r="X312" s="149"/>
      <c r="Y312" s="149"/>
      <c r="Z312" s="149"/>
      <c r="AA312" s="149"/>
    </row>
    <row r="313" spans="1:27" s="47" customFormat="1" outlineLevel="1" x14ac:dyDescent="0.25">
      <c r="A313" s="371"/>
      <c r="B313" s="372"/>
      <c r="C313" s="372"/>
      <c r="D313" s="372"/>
      <c r="E313" s="373"/>
      <c r="F313" s="52" t="s">
        <v>9</v>
      </c>
      <c r="G313" s="53">
        <f>SUM(H313:H313,N313:O313)</f>
        <v>17422</v>
      </c>
      <c r="H313" s="56"/>
      <c r="I313" s="56"/>
      <c r="J313" s="158"/>
      <c r="K313" s="155">
        <f t="shared" si="99"/>
        <v>0</v>
      </c>
      <c r="L313" s="56"/>
      <c r="M313" s="56"/>
      <c r="N313" s="51">
        <f t="shared" si="81"/>
        <v>0</v>
      </c>
      <c r="O313" s="56">
        <v>17422</v>
      </c>
      <c r="S313" s="149"/>
      <c r="T313" s="149"/>
      <c r="U313" s="149"/>
      <c r="V313" s="149"/>
      <c r="W313" s="149"/>
      <c r="X313" s="149"/>
      <c r="Y313" s="149"/>
      <c r="Z313" s="149"/>
      <c r="AA313" s="149"/>
    </row>
    <row r="314" spans="1:27" s="47" customFormat="1" outlineLevel="1" x14ac:dyDescent="0.25">
      <c r="A314" s="371"/>
      <c r="B314" s="372"/>
      <c r="C314" s="372"/>
      <c r="D314" s="372"/>
      <c r="E314" s="373"/>
      <c r="F314" s="52" t="s">
        <v>10</v>
      </c>
      <c r="G314" s="53">
        <f>SUM(H314:H314,N314:O314)</f>
        <v>1000</v>
      </c>
      <c r="H314" s="56"/>
      <c r="I314" s="56"/>
      <c r="J314" s="158"/>
      <c r="K314" s="155">
        <f t="shared" si="99"/>
        <v>0</v>
      </c>
      <c r="L314" s="56"/>
      <c r="M314" s="56">
        <v>1000</v>
      </c>
      <c r="N314" s="51">
        <f t="shared" si="81"/>
        <v>1000</v>
      </c>
      <c r="O314" s="56"/>
      <c r="S314" s="149"/>
      <c r="T314" s="149"/>
      <c r="U314" s="149"/>
      <c r="V314" s="149"/>
      <c r="W314" s="149"/>
      <c r="X314" s="149"/>
      <c r="Y314" s="149"/>
      <c r="Z314" s="149"/>
      <c r="AA314" s="149"/>
    </row>
    <row r="315" spans="1:27" s="47" customFormat="1" outlineLevel="1" x14ac:dyDescent="0.25">
      <c r="A315" s="371"/>
      <c r="B315" s="372"/>
      <c r="C315" s="372"/>
      <c r="D315" s="372"/>
      <c r="E315" s="373"/>
      <c r="F315" s="52" t="s">
        <v>11</v>
      </c>
      <c r="G315" s="53">
        <f>SUM(H315:H315,N315:O315)</f>
        <v>0</v>
      </c>
      <c r="H315" s="56"/>
      <c r="I315" s="56"/>
      <c r="J315" s="158"/>
      <c r="K315" s="155">
        <f t="shared" si="99"/>
        <v>0</v>
      </c>
      <c r="L315" s="56"/>
      <c r="M315" s="56"/>
      <c r="N315" s="51">
        <f t="shared" si="81"/>
        <v>0</v>
      </c>
      <c r="O315" s="56"/>
      <c r="S315" s="149"/>
      <c r="T315" s="149"/>
      <c r="U315" s="149"/>
      <c r="V315" s="149"/>
      <c r="W315" s="149"/>
      <c r="X315" s="149"/>
      <c r="Y315" s="149"/>
      <c r="Z315" s="149"/>
      <c r="AA315" s="149"/>
    </row>
    <row r="316" spans="1:27" s="47" customFormat="1" outlineLevel="1" x14ac:dyDescent="0.25">
      <c r="A316" s="371" t="s">
        <v>139</v>
      </c>
      <c r="B316" s="372" t="s">
        <v>197</v>
      </c>
      <c r="C316" s="372" t="s">
        <v>126</v>
      </c>
      <c r="D316" s="372" t="s">
        <v>17</v>
      </c>
      <c r="E316" s="373" t="s">
        <v>125</v>
      </c>
      <c r="F316" s="50" t="s">
        <v>7</v>
      </c>
      <c r="G316" s="51">
        <f>SUM(G317:G320)</f>
        <v>26916.05</v>
      </c>
      <c r="H316" s="51">
        <f>SUM(H317:H320)</f>
        <v>0</v>
      </c>
      <c r="I316" s="51">
        <f>SUM(I317:I320)</f>
        <v>0</v>
      </c>
      <c r="J316" s="154"/>
      <c r="K316" s="154">
        <f>I316-J316</f>
        <v>0</v>
      </c>
      <c r="L316" s="51">
        <f>SUM(L317:L320)</f>
        <v>0</v>
      </c>
      <c r="M316" s="51">
        <f>SUM(M317:M320)</f>
        <v>1000</v>
      </c>
      <c r="N316" s="51">
        <f t="shared" si="81"/>
        <v>1000</v>
      </c>
      <c r="O316" s="51">
        <f>SUM(O317:O320)</f>
        <v>25916.05</v>
      </c>
      <c r="S316" s="149"/>
      <c r="T316" s="149"/>
      <c r="U316" s="149"/>
      <c r="V316" s="149"/>
      <c r="W316" s="149"/>
      <c r="X316" s="149"/>
      <c r="Y316" s="149"/>
      <c r="Z316" s="149"/>
      <c r="AA316" s="149"/>
    </row>
    <row r="317" spans="1:27" s="47" customFormat="1" outlineLevel="1" x14ac:dyDescent="0.25">
      <c r="A317" s="371"/>
      <c r="B317" s="372"/>
      <c r="C317" s="372"/>
      <c r="D317" s="372"/>
      <c r="E317" s="373"/>
      <c r="F317" s="52" t="s">
        <v>8</v>
      </c>
      <c r="G317" s="53">
        <f>SUM(H317:H317,N317:O317)</f>
        <v>0</v>
      </c>
      <c r="H317" s="56"/>
      <c r="I317" s="56"/>
      <c r="J317" s="158"/>
      <c r="K317" s="155">
        <f t="shared" ref="K317:K320" si="100">I317-J317</f>
        <v>0</v>
      </c>
      <c r="L317" s="56"/>
      <c r="M317" s="56"/>
      <c r="N317" s="51">
        <f t="shared" si="81"/>
        <v>0</v>
      </c>
      <c r="O317" s="56"/>
      <c r="S317" s="149"/>
      <c r="T317" s="149"/>
      <c r="U317" s="149"/>
      <c r="V317" s="149"/>
      <c r="W317" s="149"/>
      <c r="X317" s="149"/>
      <c r="Y317" s="149"/>
      <c r="Z317" s="149"/>
      <c r="AA317" s="149"/>
    </row>
    <row r="318" spans="1:27" s="47" customFormat="1" outlineLevel="1" x14ac:dyDescent="0.25">
      <c r="A318" s="371"/>
      <c r="B318" s="372"/>
      <c r="C318" s="372"/>
      <c r="D318" s="372"/>
      <c r="E318" s="373"/>
      <c r="F318" s="52" t="s">
        <v>9</v>
      </c>
      <c r="G318" s="53">
        <f>SUM(H318:H318,N318:O318)</f>
        <v>25916.05</v>
      </c>
      <c r="H318" s="56"/>
      <c r="I318" s="56"/>
      <c r="J318" s="158"/>
      <c r="K318" s="155">
        <f t="shared" si="100"/>
        <v>0</v>
      </c>
      <c r="L318" s="56"/>
      <c r="M318" s="56"/>
      <c r="N318" s="51">
        <f t="shared" si="81"/>
        <v>0</v>
      </c>
      <c r="O318" s="56">
        <v>25916.05</v>
      </c>
      <c r="S318" s="149"/>
      <c r="T318" s="149"/>
      <c r="U318" s="149"/>
      <c r="V318" s="149"/>
      <c r="W318" s="149"/>
      <c r="X318" s="149"/>
      <c r="Y318" s="149"/>
      <c r="Z318" s="149"/>
      <c r="AA318" s="149"/>
    </row>
    <row r="319" spans="1:27" s="47" customFormat="1" outlineLevel="1" x14ac:dyDescent="0.25">
      <c r="A319" s="371"/>
      <c r="B319" s="372"/>
      <c r="C319" s="372"/>
      <c r="D319" s="372"/>
      <c r="E319" s="373"/>
      <c r="F319" s="52" t="s">
        <v>10</v>
      </c>
      <c r="G319" s="53">
        <f>SUM(H319:H319,N319:O319)</f>
        <v>1000</v>
      </c>
      <c r="H319" s="56"/>
      <c r="I319" s="56"/>
      <c r="J319" s="158"/>
      <c r="K319" s="155">
        <f t="shared" si="100"/>
        <v>0</v>
      </c>
      <c r="L319" s="56"/>
      <c r="M319" s="56">
        <v>1000</v>
      </c>
      <c r="N319" s="51">
        <f t="shared" si="81"/>
        <v>1000</v>
      </c>
      <c r="O319" s="56"/>
      <c r="S319" s="149"/>
      <c r="T319" s="149"/>
      <c r="U319" s="149"/>
      <c r="V319" s="149"/>
      <c r="W319" s="149"/>
      <c r="X319" s="149"/>
      <c r="Y319" s="149"/>
      <c r="Z319" s="149"/>
      <c r="AA319" s="149"/>
    </row>
    <row r="320" spans="1:27" s="47" customFormat="1" outlineLevel="1" x14ac:dyDescent="0.25">
      <c r="A320" s="371"/>
      <c r="B320" s="372"/>
      <c r="C320" s="372"/>
      <c r="D320" s="372"/>
      <c r="E320" s="373"/>
      <c r="F320" s="52" t="s">
        <v>11</v>
      </c>
      <c r="G320" s="53">
        <f>SUM(H320:H320,N320:O320)</f>
        <v>0</v>
      </c>
      <c r="H320" s="56"/>
      <c r="I320" s="56"/>
      <c r="J320" s="158"/>
      <c r="K320" s="155">
        <f t="shared" si="100"/>
        <v>0</v>
      </c>
      <c r="L320" s="56"/>
      <c r="M320" s="56"/>
      <c r="N320" s="51">
        <f t="shared" si="81"/>
        <v>0</v>
      </c>
      <c r="O320" s="56"/>
      <c r="S320" s="149"/>
      <c r="T320" s="149"/>
      <c r="U320" s="149"/>
      <c r="V320" s="149"/>
      <c r="W320" s="149"/>
      <c r="X320" s="149"/>
      <c r="Y320" s="149"/>
      <c r="Z320" s="149"/>
      <c r="AA320" s="149"/>
    </row>
    <row r="321" spans="1:27" s="47" customFormat="1" outlineLevel="1" x14ac:dyDescent="0.25">
      <c r="A321" s="371" t="s">
        <v>140</v>
      </c>
      <c r="B321" s="372" t="s">
        <v>198</v>
      </c>
      <c r="C321" s="372" t="s">
        <v>127</v>
      </c>
      <c r="D321" s="372" t="s">
        <v>17</v>
      </c>
      <c r="E321" s="373" t="s">
        <v>125</v>
      </c>
      <c r="F321" s="50" t="s">
        <v>7</v>
      </c>
      <c r="G321" s="51">
        <f>SUM(G322:G325)</f>
        <v>71318</v>
      </c>
      <c r="H321" s="51">
        <v>0</v>
      </c>
      <c r="I321" s="51">
        <v>0</v>
      </c>
      <c r="J321" s="154"/>
      <c r="K321" s="154">
        <f>I321-J321</f>
        <v>0</v>
      </c>
      <c r="L321" s="51">
        <v>0</v>
      </c>
      <c r="M321" s="51">
        <v>1000</v>
      </c>
      <c r="N321" s="51">
        <f t="shared" si="81"/>
        <v>1000</v>
      </c>
      <c r="O321" s="51">
        <v>70318</v>
      </c>
      <c r="S321" s="149"/>
      <c r="T321" s="149"/>
      <c r="U321" s="149"/>
      <c r="V321" s="149"/>
      <c r="W321" s="149"/>
      <c r="X321" s="149"/>
      <c r="Y321" s="149"/>
      <c r="Z321" s="149"/>
      <c r="AA321" s="149"/>
    </row>
    <row r="322" spans="1:27" s="47" customFormat="1" outlineLevel="1" x14ac:dyDescent="0.25">
      <c r="A322" s="371"/>
      <c r="B322" s="372"/>
      <c r="C322" s="372"/>
      <c r="D322" s="372"/>
      <c r="E322" s="373"/>
      <c r="F322" s="52" t="s">
        <v>8</v>
      </c>
      <c r="G322" s="53">
        <f>SUM(H322:H322,N322:O322)</f>
        <v>0</v>
      </c>
      <c r="H322" s="56"/>
      <c r="I322" s="56"/>
      <c r="J322" s="158"/>
      <c r="K322" s="155">
        <f t="shared" ref="K322:K325" si="101">I322-J322</f>
        <v>0</v>
      </c>
      <c r="L322" s="56"/>
      <c r="M322" s="56"/>
      <c r="N322" s="51">
        <f t="shared" si="81"/>
        <v>0</v>
      </c>
      <c r="O322" s="56"/>
      <c r="S322" s="149"/>
      <c r="T322" s="149"/>
      <c r="U322" s="149"/>
      <c r="V322" s="149"/>
      <c r="W322" s="149"/>
      <c r="X322" s="149"/>
      <c r="Y322" s="149"/>
      <c r="Z322" s="149"/>
      <c r="AA322" s="149"/>
    </row>
    <row r="323" spans="1:27" s="47" customFormat="1" outlineLevel="1" x14ac:dyDescent="0.25">
      <c r="A323" s="371"/>
      <c r="B323" s="372"/>
      <c r="C323" s="372"/>
      <c r="D323" s="372"/>
      <c r="E323" s="373"/>
      <c r="F323" s="52" t="s">
        <v>9</v>
      </c>
      <c r="G323" s="53">
        <f>SUM(H323:H323,N323:O323)</f>
        <v>70318</v>
      </c>
      <c r="H323" s="56"/>
      <c r="I323" s="56"/>
      <c r="J323" s="158"/>
      <c r="K323" s="155">
        <f t="shared" si="101"/>
        <v>0</v>
      </c>
      <c r="L323" s="56"/>
      <c r="M323" s="56"/>
      <c r="N323" s="51">
        <f t="shared" si="81"/>
        <v>0</v>
      </c>
      <c r="O323" s="56">
        <v>70318</v>
      </c>
      <c r="S323" s="149"/>
      <c r="T323" s="149"/>
      <c r="U323" s="149"/>
      <c r="V323" s="149"/>
      <c r="W323" s="149"/>
      <c r="X323" s="149"/>
      <c r="Y323" s="149"/>
      <c r="Z323" s="149"/>
      <c r="AA323" s="149"/>
    </row>
    <row r="324" spans="1:27" s="47" customFormat="1" outlineLevel="1" x14ac:dyDescent="0.25">
      <c r="A324" s="371"/>
      <c r="B324" s="372"/>
      <c r="C324" s="372"/>
      <c r="D324" s="372"/>
      <c r="E324" s="373"/>
      <c r="F324" s="52" t="s">
        <v>10</v>
      </c>
      <c r="G324" s="53">
        <f>SUM(H324:H324,N324:O324)</f>
        <v>1000</v>
      </c>
      <c r="H324" s="56"/>
      <c r="I324" s="56"/>
      <c r="J324" s="158"/>
      <c r="K324" s="155">
        <f t="shared" si="101"/>
        <v>0</v>
      </c>
      <c r="L324" s="56"/>
      <c r="M324" s="56">
        <v>1000</v>
      </c>
      <c r="N324" s="51">
        <f t="shared" si="81"/>
        <v>1000</v>
      </c>
      <c r="O324" s="56"/>
      <c r="S324" s="149"/>
      <c r="T324" s="149"/>
      <c r="U324" s="149"/>
      <c r="V324" s="149"/>
      <c r="W324" s="149"/>
      <c r="X324" s="149"/>
      <c r="Y324" s="149"/>
      <c r="Z324" s="149"/>
      <c r="AA324" s="149"/>
    </row>
    <row r="325" spans="1:27" s="47" customFormat="1" outlineLevel="1" x14ac:dyDescent="0.25">
      <c r="A325" s="371"/>
      <c r="B325" s="372"/>
      <c r="C325" s="372"/>
      <c r="D325" s="372"/>
      <c r="E325" s="373"/>
      <c r="F325" s="52" t="s">
        <v>11</v>
      </c>
      <c r="G325" s="53">
        <f>SUM(H325:H325,N325:O325)</f>
        <v>0</v>
      </c>
      <c r="H325" s="56"/>
      <c r="I325" s="56"/>
      <c r="J325" s="158"/>
      <c r="K325" s="155">
        <f t="shared" si="101"/>
        <v>0</v>
      </c>
      <c r="L325" s="56"/>
      <c r="M325" s="56"/>
      <c r="N325" s="51">
        <f t="shared" si="81"/>
        <v>0</v>
      </c>
      <c r="O325" s="56"/>
      <c r="S325" s="149"/>
      <c r="T325" s="149"/>
      <c r="U325" s="149"/>
      <c r="V325" s="149"/>
      <c r="W325" s="149"/>
      <c r="X325" s="149"/>
      <c r="Y325" s="149"/>
      <c r="Z325" s="149"/>
      <c r="AA325" s="149"/>
    </row>
    <row r="326" spans="1:27" s="72" customFormat="1" x14ac:dyDescent="0.25">
      <c r="A326" s="381" t="s">
        <v>44</v>
      </c>
      <c r="B326" s="382" t="s">
        <v>55</v>
      </c>
      <c r="C326" s="381"/>
      <c r="D326" s="382"/>
      <c r="E326" s="382"/>
      <c r="F326" s="65" t="s">
        <v>7</v>
      </c>
      <c r="G326" s="66">
        <f t="shared" ref="G326:M326" si="102">SUM(G327:G330)</f>
        <v>92500</v>
      </c>
      <c r="H326" s="66">
        <f t="shared" si="102"/>
        <v>0</v>
      </c>
      <c r="I326" s="66">
        <f t="shared" si="102"/>
        <v>12500</v>
      </c>
      <c r="J326" s="124">
        <f t="shared" si="102"/>
        <v>12500</v>
      </c>
      <c r="K326" s="124">
        <f>I326-J326</f>
        <v>0</v>
      </c>
      <c r="L326" s="66">
        <f t="shared" si="102"/>
        <v>0</v>
      </c>
      <c r="M326" s="66">
        <f t="shared" si="102"/>
        <v>40000</v>
      </c>
      <c r="N326" s="66">
        <f t="shared" si="81"/>
        <v>52500</v>
      </c>
      <c r="O326" s="66">
        <f>SUM(O327:O330)</f>
        <v>40000</v>
      </c>
      <c r="P326" s="71"/>
      <c r="Q326" s="71"/>
      <c r="S326" s="146"/>
      <c r="T326" s="146"/>
      <c r="U326" s="146"/>
      <c r="V326" s="146"/>
      <c r="W326" s="146"/>
      <c r="X326" s="146"/>
      <c r="Y326" s="146"/>
      <c r="Z326" s="146"/>
      <c r="AA326" s="146"/>
    </row>
    <row r="327" spans="1:27" s="72" customFormat="1" x14ac:dyDescent="0.25">
      <c r="A327" s="381"/>
      <c r="B327" s="382"/>
      <c r="C327" s="381"/>
      <c r="D327" s="382"/>
      <c r="E327" s="382"/>
      <c r="F327" s="69" t="s">
        <v>8</v>
      </c>
      <c r="G327" s="66">
        <f>SUM(H327:H327,N327:O327)</f>
        <v>0</v>
      </c>
      <c r="H327" s="73">
        <f>SUM(H337,H332)+H342</f>
        <v>0</v>
      </c>
      <c r="I327" s="73">
        <f t="shared" ref="I327:M327" si="103">SUM(I337,I332)+I342</f>
        <v>0</v>
      </c>
      <c r="J327" s="73">
        <f t="shared" si="103"/>
        <v>0</v>
      </c>
      <c r="K327" s="73">
        <f t="shared" si="103"/>
        <v>0</v>
      </c>
      <c r="L327" s="73">
        <f t="shared" si="103"/>
        <v>0</v>
      </c>
      <c r="M327" s="73">
        <f t="shared" si="103"/>
        <v>0</v>
      </c>
      <c r="N327" s="66">
        <f t="shared" si="81"/>
        <v>0</v>
      </c>
      <c r="O327" s="73">
        <f t="shared" ref="O327:O330" si="104">SUM(O337,O332)+O342</f>
        <v>0</v>
      </c>
      <c r="P327" s="71"/>
      <c r="Q327" s="71"/>
      <c r="S327" s="146"/>
      <c r="T327" s="146"/>
      <c r="U327" s="146"/>
      <c r="V327" s="146"/>
      <c r="W327" s="146"/>
      <c r="X327" s="146"/>
      <c r="Y327" s="146"/>
      <c r="Z327" s="146"/>
      <c r="AA327" s="146"/>
    </row>
    <row r="328" spans="1:27" s="72" customFormat="1" x14ac:dyDescent="0.25">
      <c r="A328" s="381"/>
      <c r="B328" s="382"/>
      <c r="C328" s="381"/>
      <c r="D328" s="382"/>
      <c r="E328" s="382"/>
      <c r="F328" s="69" t="s">
        <v>9</v>
      </c>
      <c r="G328" s="66">
        <f>SUM(H328:H328,N328:O328)</f>
        <v>92500</v>
      </c>
      <c r="H328" s="73">
        <f t="shared" ref="H328:M330" si="105">SUM(H338,H333)+H343</f>
        <v>0</v>
      </c>
      <c r="I328" s="73">
        <f t="shared" si="105"/>
        <v>12500</v>
      </c>
      <c r="J328" s="73">
        <f t="shared" si="105"/>
        <v>12500</v>
      </c>
      <c r="K328" s="73">
        <f t="shared" si="105"/>
        <v>0</v>
      </c>
      <c r="L328" s="73">
        <f t="shared" si="105"/>
        <v>0</v>
      </c>
      <c r="M328" s="73">
        <f t="shared" si="105"/>
        <v>40000</v>
      </c>
      <c r="N328" s="66">
        <f t="shared" si="81"/>
        <v>52500</v>
      </c>
      <c r="O328" s="73">
        <f t="shared" si="104"/>
        <v>40000</v>
      </c>
      <c r="P328" s="71"/>
      <c r="Q328" s="71"/>
      <c r="S328" s="146"/>
      <c r="T328" s="146"/>
      <c r="U328" s="146"/>
      <c r="V328" s="146"/>
      <c r="W328" s="146"/>
      <c r="X328" s="146"/>
      <c r="Y328" s="146"/>
      <c r="Z328" s="146"/>
      <c r="AA328" s="146"/>
    </row>
    <row r="329" spans="1:27" s="72" customFormat="1" x14ac:dyDescent="0.25">
      <c r="A329" s="381"/>
      <c r="B329" s="382"/>
      <c r="C329" s="381"/>
      <c r="D329" s="382"/>
      <c r="E329" s="382"/>
      <c r="F329" s="69" t="s">
        <v>10</v>
      </c>
      <c r="G329" s="66">
        <f>SUM(H329:H329,N329:O329)</f>
        <v>0</v>
      </c>
      <c r="H329" s="73">
        <f t="shared" si="105"/>
        <v>0</v>
      </c>
      <c r="I329" s="73">
        <f t="shared" si="105"/>
        <v>0</v>
      </c>
      <c r="J329" s="73">
        <f t="shared" si="105"/>
        <v>0</v>
      </c>
      <c r="K329" s="73">
        <f t="shared" si="105"/>
        <v>0</v>
      </c>
      <c r="L329" s="73">
        <f t="shared" si="105"/>
        <v>0</v>
      </c>
      <c r="M329" s="73">
        <f t="shared" si="105"/>
        <v>0</v>
      </c>
      <c r="N329" s="66">
        <f t="shared" si="81"/>
        <v>0</v>
      </c>
      <c r="O329" s="73">
        <f t="shared" si="104"/>
        <v>0</v>
      </c>
      <c r="P329" s="71"/>
      <c r="Q329" s="71"/>
      <c r="S329" s="146"/>
      <c r="T329" s="146"/>
      <c r="U329" s="146"/>
      <c r="V329" s="146"/>
      <c r="W329" s="146"/>
      <c r="X329" s="146"/>
      <c r="Y329" s="146"/>
      <c r="Z329" s="146"/>
      <c r="AA329" s="146"/>
    </row>
    <row r="330" spans="1:27" s="72" customFormat="1" x14ac:dyDescent="0.25">
      <c r="A330" s="381"/>
      <c r="B330" s="382"/>
      <c r="C330" s="381"/>
      <c r="D330" s="382"/>
      <c r="E330" s="382"/>
      <c r="F330" s="69" t="s">
        <v>11</v>
      </c>
      <c r="G330" s="66">
        <f>SUM(H330:H330,N330:O330)</f>
        <v>0</v>
      </c>
      <c r="H330" s="73">
        <f t="shared" si="105"/>
        <v>0</v>
      </c>
      <c r="I330" s="73">
        <f t="shared" si="105"/>
        <v>0</v>
      </c>
      <c r="J330" s="73">
        <f t="shared" si="105"/>
        <v>0</v>
      </c>
      <c r="K330" s="73">
        <f t="shared" si="105"/>
        <v>0</v>
      </c>
      <c r="L330" s="73">
        <f t="shared" si="105"/>
        <v>0</v>
      </c>
      <c r="M330" s="73">
        <f t="shared" si="105"/>
        <v>0</v>
      </c>
      <c r="N330" s="66">
        <f t="shared" si="81"/>
        <v>0</v>
      </c>
      <c r="O330" s="73">
        <f t="shared" si="104"/>
        <v>0</v>
      </c>
      <c r="P330" s="71"/>
      <c r="Q330" s="71"/>
      <c r="S330" s="146"/>
      <c r="T330" s="146"/>
      <c r="U330" s="146"/>
      <c r="V330" s="146"/>
      <c r="W330" s="146"/>
      <c r="X330" s="146"/>
      <c r="Y330" s="146"/>
      <c r="Z330" s="146"/>
      <c r="AA330" s="146"/>
    </row>
    <row r="331" spans="1:27" outlineLevel="1" x14ac:dyDescent="0.25">
      <c r="A331" s="376" t="s">
        <v>250</v>
      </c>
      <c r="B331" s="378" t="s">
        <v>251</v>
      </c>
      <c r="C331" s="378" t="s">
        <v>252</v>
      </c>
      <c r="D331" s="378" t="s">
        <v>56</v>
      </c>
      <c r="E331" s="380">
        <v>2023</v>
      </c>
      <c r="F331" s="126" t="s">
        <v>7</v>
      </c>
      <c r="G331" s="143">
        <f>SUM(G332:G335)</f>
        <v>11500</v>
      </c>
      <c r="H331" s="143">
        <f>SUM(H332:H335)</f>
        <v>0</v>
      </c>
      <c r="I331" s="143">
        <f>SUM(I332:I335)</f>
        <v>11500</v>
      </c>
      <c r="J331" s="144">
        <f>J333</f>
        <v>11500</v>
      </c>
      <c r="K331" s="121">
        <f>I331-J331</f>
        <v>0</v>
      </c>
      <c r="L331" s="143">
        <f>SUM(L332:L335)</f>
        <v>0</v>
      </c>
      <c r="M331" s="143">
        <f>SUM(M332:M335)</f>
        <v>0</v>
      </c>
      <c r="N331" s="120">
        <f t="shared" si="81"/>
        <v>11500</v>
      </c>
      <c r="O331" s="143">
        <f>SUM(O332:O335)</f>
        <v>0</v>
      </c>
    </row>
    <row r="332" spans="1:27" outlineLevel="1" x14ac:dyDescent="0.25">
      <c r="A332" s="376"/>
      <c r="B332" s="378"/>
      <c r="C332" s="378"/>
      <c r="D332" s="378"/>
      <c r="E332" s="380"/>
      <c r="F332" s="132" t="s">
        <v>8</v>
      </c>
      <c r="G332" s="133">
        <f>SUM(H332:H332,N332:O332)</f>
        <v>0</v>
      </c>
      <c r="H332" s="137"/>
      <c r="I332" s="137"/>
      <c r="J332" s="138"/>
      <c r="K332" s="136">
        <f t="shared" ref="K332:K335" si="106">I332-J332</f>
        <v>0</v>
      </c>
      <c r="L332" s="137"/>
      <c r="M332" s="143"/>
      <c r="N332" s="120">
        <f t="shared" si="81"/>
        <v>0</v>
      </c>
      <c r="O332" s="143"/>
    </row>
    <row r="333" spans="1:27" outlineLevel="1" x14ac:dyDescent="0.25">
      <c r="A333" s="376"/>
      <c r="B333" s="378"/>
      <c r="C333" s="378"/>
      <c r="D333" s="378"/>
      <c r="E333" s="380"/>
      <c r="F333" s="132" t="s">
        <v>9</v>
      </c>
      <c r="G333" s="133">
        <f>SUM(H333:H333,N333:O333)</f>
        <v>11500</v>
      </c>
      <c r="H333" s="137"/>
      <c r="I333" s="137">
        <v>11500</v>
      </c>
      <c r="J333" s="138">
        <v>11500</v>
      </c>
      <c r="K333" s="136">
        <f t="shared" si="106"/>
        <v>0</v>
      </c>
      <c r="L333" s="137"/>
      <c r="M333" s="143"/>
      <c r="N333" s="120">
        <f t="shared" si="81"/>
        <v>11500</v>
      </c>
      <c r="O333" s="143"/>
    </row>
    <row r="334" spans="1:27" outlineLevel="1" x14ac:dyDescent="0.25">
      <c r="A334" s="376"/>
      <c r="B334" s="378"/>
      <c r="C334" s="378"/>
      <c r="D334" s="378"/>
      <c r="E334" s="380"/>
      <c r="F334" s="132" t="s">
        <v>10</v>
      </c>
      <c r="G334" s="133">
        <f>SUM(H334:H334,N334:O334)</f>
        <v>0</v>
      </c>
      <c r="H334" s="137"/>
      <c r="I334" s="137"/>
      <c r="J334" s="138"/>
      <c r="K334" s="136">
        <f t="shared" si="106"/>
        <v>0</v>
      </c>
      <c r="L334" s="137"/>
      <c r="M334" s="143"/>
      <c r="N334" s="120">
        <f t="shared" si="81"/>
        <v>0</v>
      </c>
      <c r="O334" s="143"/>
    </row>
    <row r="335" spans="1:27" outlineLevel="1" x14ac:dyDescent="0.25">
      <c r="A335" s="376"/>
      <c r="B335" s="378"/>
      <c r="C335" s="378"/>
      <c r="D335" s="378"/>
      <c r="E335" s="380"/>
      <c r="F335" s="132" t="s">
        <v>11</v>
      </c>
      <c r="G335" s="133">
        <f>SUM(H335:H335,N335:O335)</f>
        <v>0</v>
      </c>
      <c r="H335" s="143"/>
      <c r="I335" s="143"/>
      <c r="J335" s="144"/>
      <c r="K335" s="136">
        <f t="shared" si="106"/>
        <v>0</v>
      </c>
      <c r="L335" s="143"/>
      <c r="M335" s="143"/>
      <c r="N335" s="120">
        <f t="shared" si="81"/>
        <v>0</v>
      </c>
      <c r="O335" s="143"/>
      <c r="Q335"/>
    </row>
    <row r="336" spans="1:27" outlineLevel="1" x14ac:dyDescent="0.25">
      <c r="A336" s="376" t="s">
        <v>253</v>
      </c>
      <c r="B336" s="378" t="s">
        <v>254</v>
      </c>
      <c r="C336" s="378" t="s">
        <v>255</v>
      </c>
      <c r="D336" s="378" t="s">
        <v>256</v>
      </c>
      <c r="E336" s="380">
        <v>2023</v>
      </c>
      <c r="F336" s="126" t="s">
        <v>7</v>
      </c>
      <c r="G336" s="143">
        <f>SUM(G337:G340)</f>
        <v>1000</v>
      </c>
      <c r="H336" s="143">
        <f>SUM(H337:H340)</f>
        <v>0</v>
      </c>
      <c r="I336" s="143">
        <f>SUM(I337:I340)</f>
        <v>1000</v>
      </c>
      <c r="J336" s="144">
        <f>J338</f>
        <v>1000</v>
      </c>
      <c r="K336" s="121">
        <f>I336-J336</f>
        <v>0</v>
      </c>
      <c r="L336" s="143">
        <f>SUM(L337:L340)</f>
        <v>0</v>
      </c>
      <c r="M336" s="143">
        <f>SUM(M337:M340)</f>
        <v>0</v>
      </c>
      <c r="N336" s="120">
        <f t="shared" si="81"/>
        <v>1000</v>
      </c>
      <c r="O336" s="143">
        <f>SUM(O337:O340)</f>
        <v>0</v>
      </c>
      <c r="Q336" t="s">
        <v>257</v>
      </c>
    </row>
    <row r="337" spans="1:27" outlineLevel="1" x14ac:dyDescent="0.25">
      <c r="A337" s="376"/>
      <c r="B337" s="378"/>
      <c r="C337" s="378"/>
      <c r="D337" s="378"/>
      <c r="E337" s="380"/>
      <c r="F337" s="132" t="s">
        <v>8</v>
      </c>
      <c r="G337" s="133">
        <f>SUM(H337:H337,N337:O337)</f>
        <v>0</v>
      </c>
      <c r="H337" s="137"/>
      <c r="I337" s="143"/>
      <c r="J337" s="144"/>
      <c r="K337" s="136">
        <f t="shared" ref="K337:K340" si="107">I337-J337</f>
        <v>0</v>
      </c>
      <c r="L337" s="143"/>
      <c r="M337" s="143"/>
      <c r="N337" s="120">
        <f t="shared" si="81"/>
        <v>0</v>
      </c>
      <c r="O337" s="143"/>
      <c r="Q337" s="25" t="s">
        <v>258</v>
      </c>
    </row>
    <row r="338" spans="1:27" outlineLevel="1" x14ac:dyDescent="0.25">
      <c r="A338" s="376"/>
      <c r="B338" s="378"/>
      <c r="C338" s="378"/>
      <c r="D338" s="378"/>
      <c r="E338" s="380"/>
      <c r="F338" s="132" t="s">
        <v>9</v>
      </c>
      <c r="G338" s="133">
        <f>SUM(H338:H338,N338:O338)</f>
        <v>1000</v>
      </c>
      <c r="H338" s="176"/>
      <c r="I338" s="137">
        <v>1000</v>
      </c>
      <c r="J338" s="138">
        <v>1000</v>
      </c>
      <c r="K338" s="136">
        <f t="shared" si="107"/>
        <v>0</v>
      </c>
      <c r="L338" s="143"/>
      <c r="M338" s="143"/>
      <c r="N338" s="120">
        <f t="shared" si="81"/>
        <v>1000</v>
      </c>
      <c r="O338" s="143"/>
    </row>
    <row r="339" spans="1:27" outlineLevel="1" x14ac:dyDescent="0.25">
      <c r="A339" s="376"/>
      <c r="B339" s="378"/>
      <c r="C339" s="378"/>
      <c r="D339" s="378"/>
      <c r="E339" s="380"/>
      <c r="F339" s="132" t="s">
        <v>10</v>
      </c>
      <c r="G339" s="133">
        <f>SUM(H339:H339,N339:O339)</f>
        <v>0</v>
      </c>
      <c r="H339" s="143"/>
      <c r="I339" s="143"/>
      <c r="J339" s="144"/>
      <c r="K339" s="136">
        <f t="shared" si="107"/>
        <v>0</v>
      </c>
      <c r="L339" s="143"/>
      <c r="M339" s="143"/>
      <c r="N339" s="120">
        <f t="shared" si="81"/>
        <v>0</v>
      </c>
      <c r="O339" s="143"/>
    </row>
    <row r="340" spans="1:27" outlineLevel="1" x14ac:dyDescent="0.25">
      <c r="A340" s="376"/>
      <c r="B340" s="378"/>
      <c r="C340" s="378"/>
      <c r="D340" s="378"/>
      <c r="E340" s="380"/>
      <c r="F340" s="132" t="s">
        <v>11</v>
      </c>
      <c r="G340" s="133">
        <f>SUM(H340:H340,N340:O340)</f>
        <v>0</v>
      </c>
      <c r="H340" s="143"/>
      <c r="I340" s="143"/>
      <c r="J340" s="144"/>
      <c r="K340" s="136">
        <f t="shared" si="107"/>
        <v>0</v>
      </c>
      <c r="L340" s="143"/>
      <c r="M340" s="143"/>
      <c r="N340" s="120">
        <f t="shared" si="81"/>
        <v>0</v>
      </c>
      <c r="O340" s="143"/>
    </row>
    <row r="341" spans="1:27" s="47" customFormat="1" outlineLevel="1" x14ac:dyDescent="0.25">
      <c r="A341" s="371" t="s">
        <v>156</v>
      </c>
      <c r="B341" s="372" t="s">
        <v>155</v>
      </c>
      <c r="C341" s="372" t="s">
        <v>177</v>
      </c>
      <c r="D341" s="372" t="s">
        <v>56</v>
      </c>
      <c r="E341" s="373" t="s">
        <v>115</v>
      </c>
      <c r="F341" s="50" t="s">
        <v>7</v>
      </c>
      <c r="G341" s="51">
        <f>SUM(G342:G345)</f>
        <v>80000</v>
      </c>
      <c r="H341" s="51">
        <f>SUM(H342:H345)</f>
        <v>0</v>
      </c>
      <c r="I341" s="51">
        <f>SUM(I342:I345)</f>
        <v>0</v>
      </c>
      <c r="J341" s="154"/>
      <c r="K341" s="154">
        <f>I341-J341</f>
        <v>0</v>
      </c>
      <c r="L341" s="51">
        <f>SUM(L342:L345)</f>
        <v>0</v>
      </c>
      <c r="M341" s="51">
        <f>SUM(M342:M345)</f>
        <v>40000</v>
      </c>
      <c r="N341" s="51">
        <f>SUM(I341,L341:M341)</f>
        <v>40000</v>
      </c>
      <c r="O341" s="51">
        <f>SUM(O342:O345)</f>
        <v>40000</v>
      </c>
      <c r="S341" s="149"/>
      <c r="T341" s="149"/>
      <c r="U341" s="149"/>
      <c r="V341" s="149"/>
      <c r="W341" s="149"/>
      <c r="X341" s="149"/>
      <c r="Y341" s="149"/>
      <c r="Z341" s="149"/>
      <c r="AA341" s="149"/>
    </row>
    <row r="342" spans="1:27" s="47" customFormat="1" outlineLevel="1" x14ac:dyDescent="0.25">
      <c r="A342" s="371"/>
      <c r="B342" s="372"/>
      <c r="C342" s="372"/>
      <c r="D342" s="372"/>
      <c r="E342" s="373"/>
      <c r="F342" s="52" t="s">
        <v>8</v>
      </c>
      <c r="G342" s="53">
        <f>SUM(H342:H342,N342:O342)</f>
        <v>0</v>
      </c>
      <c r="H342" s="56"/>
      <c r="I342" s="56"/>
      <c r="J342" s="158"/>
      <c r="K342" s="155">
        <f t="shared" ref="K342:K345" si="108">I342-J342</f>
        <v>0</v>
      </c>
      <c r="L342" s="56"/>
      <c r="M342" s="56"/>
      <c r="N342" s="51">
        <f>SUM(I342,L342:M342)</f>
        <v>0</v>
      </c>
      <c r="O342" s="56"/>
      <c r="S342" s="149"/>
      <c r="T342" s="149"/>
      <c r="U342" s="149"/>
      <c r="V342" s="149"/>
      <c r="W342" s="149"/>
      <c r="X342" s="149"/>
      <c r="Y342" s="149"/>
      <c r="Z342" s="149"/>
      <c r="AA342" s="149"/>
    </row>
    <row r="343" spans="1:27" s="47" customFormat="1" outlineLevel="1" x14ac:dyDescent="0.25">
      <c r="A343" s="371"/>
      <c r="B343" s="372"/>
      <c r="C343" s="372"/>
      <c r="D343" s="372"/>
      <c r="E343" s="373"/>
      <c r="F343" s="52" t="s">
        <v>9</v>
      </c>
      <c r="G343" s="53">
        <f>SUM(H343:H343,N343:O343)</f>
        <v>80000</v>
      </c>
      <c r="H343" s="56"/>
      <c r="I343" s="56"/>
      <c r="J343" s="158"/>
      <c r="K343" s="155">
        <f t="shared" si="108"/>
        <v>0</v>
      </c>
      <c r="L343" s="56"/>
      <c r="M343" s="56">
        <v>40000</v>
      </c>
      <c r="N343" s="51">
        <f>SUM(I343,L343:M343)</f>
        <v>40000</v>
      </c>
      <c r="O343" s="56">
        <v>40000</v>
      </c>
      <c r="S343" s="149"/>
      <c r="T343" s="149"/>
      <c r="U343" s="149"/>
      <c r="V343" s="149"/>
      <c r="W343" s="149"/>
      <c r="X343" s="149"/>
      <c r="Y343" s="149"/>
      <c r="Z343" s="149"/>
      <c r="AA343" s="149"/>
    </row>
    <row r="344" spans="1:27" s="47" customFormat="1" outlineLevel="1" x14ac:dyDescent="0.25">
      <c r="A344" s="371"/>
      <c r="B344" s="372"/>
      <c r="C344" s="372"/>
      <c r="D344" s="372"/>
      <c r="E344" s="373"/>
      <c r="F344" s="52" t="s">
        <v>10</v>
      </c>
      <c r="G344" s="53">
        <f>SUM(H344:H344,N344:O344)</f>
        <v>0</v>
      </c>
      <c r="H344" s="56"/>
      <c r="I344" s="56"/>
      <c r="J344" s="158"/>
      <c r="K344" s="155">
        <f t="shared" si="108"/>
        <v>0</v>
      </c>
      <c r="L344" s="56"/>
      <c r="M344" s="56"/>
      <c r="N344" s="51">
        <f>SUM(I344,L344:M344)</f>
        <v>0</v>
      </c>
      <c r="O344" s="56"/>
      <c r="S344" s="149"/>
      <c r="T344" s="149"/>
      <c r="U344" s="149"/>
      <c r="V344" s="149"/>
      <c r="W344" s="149"/>
      <c r="X344" s="149"/>
      <c r="Y344" s="149"/>
      <c r="Z344" s="149"/>
      <c r="AA344" s="149"/>
    </row>
    <row r="345" spans="1:27" s="47" customFormat="1" outlineLevel="1" x14ac:dyDescent="0.25">
      <c r="A345" s="371"/>
      <c r="B345" s="372"/>
      <c r="C345" s="372"/>
      <c r="D345" s="372"/>
      <c r="E345" s="373"/>
      <c r="F345" s="52" t="s">
        <v>11</v>
      </c>
      <c r="G345" s="53">
        <f>SUM(H345:H345,N345:O345)</f>
        <v>0</v>
      </c>
      <c r="H345" s="56"/>
      <c r="I345" s="56"/>
      <c r="J345" s="158"/>
      <c r="K345" s="155">
        <f t="shared" si="108"/>
        <v>0</v>
      </c>
      <c r="L345" s="56"/>
      <c r="M345" s="56"/>
      <c r="N345" s="51">
        <f>SUM(I345,L345:M345)</f>
        <v>0</v>
      </c>
      <c r="O345" s="56"/>
      <c r="S345" s="149"/>
      <c r="T345" s="149"/>
      <c r="U345" s="149"/>
      <c r="V345" s="149"/>
      <c r="W345" s="149"/>
      <c r="X345" s="149"/>
      <c r="Y345" s="149"/>
      <c r="Z345" s="149"/>
      <c r="AA345" s="149"/>
    </row>
    <row r="346" spans="1:27" s="72" customFormat="1" x14ac:dyDescent="0.25">
      <c r="A346" s="381" t="s">
        <v>57</v>
      </c>
      <c r="B346" s="382" t="s">
        <v>58</v>
      </c>
      <c r="C346" s="381"/>
      <c r="D346" s="382"/>
      <c r="E346" s="381"/>
      <c r="F346" s="65" t="s">
        <v>7</v>
      </c>
      <c r="G346" s="66">
        <f t="shared" ref="G346:M346" si="109">SUM(G347:G350)</f>
        <v>567978.68999999994</v>
      </c>
      <c r="H346" s="66">
        <f t="shared" si="109"/>
        <v>19454.12</v>
      </c>
      <c r="I346" s="66">
        <f t="shared" si="109"/>
        <v>41073.57</v>
      </c>
      <c r="J346" s="124">
        <f t="shared" si="109"/>
        <v>16588.36</v>
      </c>
      <c r="K346" s="124">
        <f>I346-J346</f>
        <v>24485.21</v>
      </c>
      <c r="L346" s="66">
        <f t="shared" si="109"/>
        <v>152650</v>
      </c>
      <c r="M346" s="66">
        <f t="shared" si="109"/>
        <v>294551</v>
      </c>
      <c r="N346" s="66">
        <f t="shared" si="81"/>
        <v>488274.57</v>
      </c>
      <c r="O346" s="66">
        <f>SUM(O347:O350)</f>
        <v>60250</v>
      </c>
      <c r="P346" s="71"/>
      <c r="Q346" s="71"/>
      <c r="S346" s="146"/>
      <c r="T346" s="146"/>
      <c r="U346" s="146"/>
      <c r="V346" s="146"/>
      <c r="W346" s="146"/>
      <c r="X346" s="146"/>
      <c r="Y346" s="146"/>
      <c r="Z346" s="146"/>
      <c r="AA346" s="146"/>
    </row>
    <row r="347" spans="1:27" s="72" customFormat="1" x14ac:dyDescent="0.25">
      <c r="A347" s="381"/>
      <c r="B347" s="382"/>
      <c r="C347" s="381"/>
      <c r="D347" s="382"/>
      <c r="E347" s="381"/>
      <c r="F347" s="69" t="s">
        <v>8</v>
      </c>
      <c r="G347" s="66">
        <f>SUM(H347:H347,N347:O347)</f>
        <v>0</v>
      </c>
      <c r="H347" s="79">
        <f>SUM(H357,H352,H367,H362,H372,H377,H382)+H387+H392+H397+H402+H407</f>
        <v>0</v>
      </c>
      <c r="I347" s="79">
        <f t="shared" ref="I347:M347" si="110">SUM(I357,I352,I367,I362,I372,I377,I382)+I387+I392+I397+I402+I407</f>
        <v>0</v>
      </c>
      <c r="J347" s="79">
        <f t="shared" si="110"/>
        <v>0</v>
      </c>
      <c r="K347" s="79">
        <f t="shared" si="110"/>
        <v>0</v>
      </c>
      <c r="L347" s="79">
        <f t="shared" si="110"/>
        <v>0</v>
      </c>
      <c r="M347" s="79">
        <f t="shared" si="110"/>
        <v>0</v>
      </c>
      <c r="N347" s="66">
        <f t="shared" si="81"/>
        <v>0</v>
      </c>
      <c r="O347" s="79">
        <f t="shared" ref="O347:O350" si="111">SUM(O357,O352,O367,O362,O372,O377,O382)+O387+O392+O397+O402+O407</f>
        <v>0</v>
      </c>
      <c r="P347" s="71"/>
      <c r="Q347" s="71"/>
      <c r="S347" s="146"/>
      <c r="T347" s="146"/>
      <c r="U347" s="146"/>
      <c r="V347" s="146"/>
      <c r="W347" s="146"/>
      <c r="X347" s="146"/>
      <c r="Y347" s="146"/>
      <c r="Z347" s="146"/>
      <c r="AA347" s="146"/>
    </row>
    <row r="348" spans="1:27" s="72" customFormat="1" x14ac:dyDescent="0.25">
      <c r="A348" s="381"/>
      <c r="B348" s="382"/>
      <c r="C348" s="381"/>
      <c r="D348" s="382"/>
      <c r="E348" s="381"/>
      <c r="F348" s="69" t="s">
        <v>9</v>
      </c>
      <c r="G348" s="66">
        <f>SUM(H348:H348,N348:O348)</f>
        <v>374265.20999999996</v>
      </c>
      <c r="H348" s="79">
        <f t="shared" ref="H348:M350" si="112">SUM(H358,H353,H368,H363,H373,H378,H383)+H388+H393+H398+H403+H408</f>
        <v>0</v>
      </c>
      <c r="I348" s="79">
        <f t="shared" si="112"/>
        <v>11685.21</v>
      </c>
      <c r="J348" s="79">
        <f t="shared" si="112"/>
        <v>0</v>
      </c>
      <c r="K348" s="79">
        <f t="shared" si="112"/>
        <v>11685.21</v>
      </c>
      <c r="L348" s="79">
        <f>SUM(L358,L353,L368,L363,L373,L378,L383)+L388+L393+L398+L403+L408</f>
        <v>105500</v>
      </c>
      <c r="M348" s="79">
        <f t="shared" si="112"/>
        <v>201830</v>
      </c>
      <c r="N348" s="66">
        <f t="shared" si="81"/>
        <v>319015.20999999996</v>
      </c>
      <c r="O348" s="79">
        <f t="shared" si="111"/>
        <v>55250</v>
      </c>
      <c r="P348" s="71"/>
      <c r="Q348" s="71"/>
      <c r="S348" s="146"/>
      <c r="T348" s="146"/>
      <c r="U348" s="146"/>
      <c r="V348" s="146"/>
      <c r="W348" s="146"/>
      <c r="X348" s="146"/>
      <c r="Y348" s="146"/>
      <c r="Z348" s="146"/>
      <c r="AA348" s="146"/>
    </row>
    <row r="349" spans="1:27" s="72" customFormat="1" x14ac:dyDescent="0.25">
      <c r="A349" s="381"/>
      <c r="B349" s="382"/>
      <c r="C349" s="381"/>
      <c r="D349" s="382"/>
      <c r="E349" s="381"/>
      <c r="F349" s="69" t="s">
        <v>10</v>
      </c>
      <c r="G349" s="66">
        <f>SUM(H349:H349,N349:O349)</f>
        <v>91233.48</v>
      </c>
      <c r="H349" s="79">
        <f t="shared" si="112"/>
        <v>19454.12</v>
      </c>
      <c r="I349" s="79">
        <f t="shared" si="112"/>
        <v>20908.36</v>
      </c>
      <c r="J349" s="79">
        <f t="shared" si="112"/>
        <v>8108.36</v>
      </c>
      <c r="K349" s="79">
        <f t="shared" si="112"/>
        <v>12800</v>
      </c>
      <c r="L349" s="79">
        <f t="shared" si="112"/>
        <v>5150</v>
      </c>
      <c r="M349" s="79">
        <f t="shared" si="112"/>
        <v>40721</v>
      </c>
      <c r="N349" s="66">
        <f t="shared" si="81"/>
        <v>66779.360000000001</v>
      </c>
      <c r="O349" s="79">
        <f t="shared" si="111"/>
        <v>5000</v>
      </c>
      <c r="P349" s="71"/>
      <c r="Q349" s="71"/>
      <c r="S349" s="146"/>
      <c r="T349" s="146"/>
      <c r="U349" s="146"/>
      <c r="V349" s="146"/>
      <c r="W349" s="146"/>
      <c r="X349" s="146"/>
      <c r="Y349" s="146"/>
      <c r="Z349" s="146"/>
      <c r="AA349" s="146"/>
    </row>
    <row r="350" spans="1:27" s="72" customFormat="1" x14ac:dyDescent="0.25">
      <c r="A350" s="381"/>
      <c r="B350" s="382"/>
      <c r="C350" s="381"/>
      <c r="D350" s="382"/>
      <c r="E350" s="381"/>
      <c r="F350" s="69" t="s">
        <v>11</v>
      </c>
      <c r="G350" s="66">
        <f>SUM(H350:H350,N350:O350)</f>
        <v>102480</v>
      </c>
      <c r="H350" s="79">
        <f t="shared" si="112"/>
        <v>0</v>
      </c>
      <c r="I350" s="79">
        <f t="shared" si="112"/>
        <v>8480</v>
      </c>
      <c r="J350" s="79">
        <f t="shared" si="112"/>
        <v>8480</v>
      </c>
      <c r="K350" s="79">
        <f t="shared" si="112"/>
        <v>0</v>
      </c>
      <c r="L350" s="79">
        <f t="shared" si="112"/>
        <v>42000</v>
      </c>
      <c r="M350" s="79">
        <f t="shared" si="112"/>
        <v>52000</v>
      </c>
      <c r="N350" s="66">
        <f t="shared" si="81"/>
        <v>102480</v>
      </c>
      <c r="O350" s="79">
        <f t="shared" si="111"/>
        <v>0</v>
      </c>
      <c r="P350" s="71"/>
      <c r="Q350" s="71"/>
      <c r="S350" s="146"/>
      <c r="T350" s="146"/>
      <c r="U350" s="146"/>
      <c r="V350" s="146"/>
      <c r="W350" s="146"/>
      <c r="X350" s="146"/>
      <c r="Y350" s="146"/>
      <c r="Z350" s="146"/>
      <c r="AA350" s="146"/>
    </row>
    <row r="351" spans="1:27" outlineLevel="1" x14ac:dyDescent="0.25">
      <c r="A351" s="376" t="s">
        <v>161</v>
      </c>
      <c r="B351" s="378" t="s">
        <v>191</v>
      </c>
      <c r="C351" s="380"/>
      <c r="D351" s="378" t="s">
        <v>192</v>
      </c>
      <c r="E351" s="380" t="s">
        <v>30</v>
      </c>
      <c r="F351" s="126" t="s">
        <v>7</v>
      </c>
      <c r="G351" s="120">
        <f t="shared" ref="G351:M351" si="113">SUM(G352:G355)</f>
        <v>13670.21</v>
      </c>
      <c r="H351" s="120">
        <f t="shared" si="113"/>
        <v>0</v>
      </c>
      <c r="I351" s="120">
        <f t="shared" si="113"/>
        <v>13670.21</v>
      </c>
      <c r="J351" s="121">
        <f t="shared" si="113"/>
        <v>1985</v>
      </c>
      <c r="K351" s="121">
        <f>I351-J351</f>
        <v>11685.21</v>
      </c>
      <c r="L351" s="120">
        <f t="shared" si="113"/>
        <v>0</v>
      </c>
      <c r="M351" s="177">
        <f t="shared" si="113"/>
        <v>0</v>
      </c>
      <c r="N351" s="120">
        <f t="shared" si="81"/>
        <v>13670.21</v>
      </c>
      <c r="O351" s="177">
        <f>SUM(O352:O355)</f>
        <v>0</v>
      </c>
    </row>
    <row r="352" spans="1:27" outlineLevel="1" x14ac:dyDescent="0.25">
      <c r="A352" s="376"/>
      <c r="B352" s="378"/>
      <c r="C352" s="380"/>
      <c r="D352" s="378"/>
      <c r="E352" s="380"/>
      <c r="F352" s="132" t="s">
        <v>8</v>
      </c>
      <c r="G352" s="133">
        <f>SUM(H352:H352,N352:O352)</f>
        <v>0</v>
      </c>
      <c r="H352" s="133"/>
      <c r="I352" s="133"/>
      <c r="J352" s="136"/>
      <c r="K352" s="136">
        <f t="shared" ref="K352:K355" si="114">I352-J352</f>
        <v>0</v>
      </c>
      <c r="L352" s="133"/>
      <c r="M352" s="178"/>
      <c r="N352" s="120">
        <f t="shared" si="81"/>
        <v>0</v>
      </c>
      <c r="O352" s="178"/>
    </row>
    <row r="353" spans="1:15" outlineLevel="1" x14ac:dyDescent="0.25">
      <c r="A353" s="376"/>
      <c r="B353" s="378"/>
      <c r="C353" s="380"/>
      <c r="D353" s="378"/>
      <c r="E353" s="380"/>
      <c r="F353" s="132" t="s">
        <v>9</v>
      </c>
      <c r="G353" s="133">
        <f>SUM(H353:H353,N353:O353)</f>
        <v>11685.21</v>
      </c>
      <c r="H353" s="133"/>
      <c r="I353" s="133">
        <v>11685.21</v>
      </c>
      <c r="J353" s="136"/>
      <c r="K353" s="145">
        <f t="shared" si="114"/>
        <v>11685.21</v>
      </c>
      <c r="L353" s="133"/>
      <c r="M353" s="178"/>
      <c r="N353" s="120">
        <f t="shared" si="81"/>
        <v>11685.21</v>
      </c>
      <c r="O353" s="178"/>
    </row>
    <row r="354" spans="1:15" outlineLevel="1" x14ac:dyDescent="0.25">
      <c r="A354" s="376"/>
      <c r="B354" s="378"/>
      <c r="C354" s="380"/>
      <c r="D354" s="378"/>
      <c r="E354" s="380"/>
      <c r="F354" s="132" t="s">
        <v>10</v>
      </c>
      <c r="G354" s="133">
        <f>SUM(H354:H354,N354:O354)</f>
        <v>1985</v>
      </c>
      <c r="H354" s="133"/>
      <c r="I354" s="133">
        <v>1985</v>
      </c>
      <c r="J354" s="136">
        <v>1985</v>
      </c>
      <c r="K354" s="136">
        <f t="shared" si="114"/>
        <v>0</v>
      </c>
      <c r="L354" s="133"/>
      <c r="M354" s="178"/>
      <c r="N354" s="120">
        <f t="shared" si="81"/>
        <v>1985</v>
      </c>
      <c r="O354" s="178"/>
    </row>
    <row r="355" spans="1:15" outlineLevel="1" x14ac:dyDescent="0.25">
      <c r="A355" s="376"/>
      <c r="B355" s="378"/>
      <c r="C355" s="380"/>
      <c r="D355" s="378"/>
      <c r="E355" s="380"/>
      <c r="F355" s="132" t="s">
        <v>11</v>
      </c>
      <c r="G355" s="133">
        <f>SUM(H355:H355,N355:O355)</f>
        <v>0</v>
      </c>
      <c r="H355" s="133"/>
      <c r="I355" s="133"/>
      <c r="J355" s="136"/>
      <c r="K355" s="136">
        <f t="shared" si="114"/>
        <v>0</v>
      </c>
      <c r="L355" s="133"/>
      <c r="M355" s="178"/>
      <c r="N355" s="120">
        <f t="shared" si="81"/>
        <v>0</v>
      </c>
      <c r="O355" s="178"/>
    </row>
    <row r="356" spans="1:15" outlineLevel="1" x14ac:dyDescent="0.25">
      <c r="A356" s="376" t="s">
        <v>259</v>
      </c>
      <c r="B356" s="378" t="s">
        <v>260</v>
      </c>
      <c r="C356" s="378" t="s">
        <v>193</v>
      </c>
      <c r="D356" s="378" t="s">
        <v>59</v>
      </c>
      <c r="E356" s="380">
        <v>2023</v>
      </c>
      <c r="F356" s="119" t="s">
        <v>7</v>
      </c>
      <c r="G356" s="120">
        <f>SUM(G357:G360)</f>
        <v>12800</v>
      </c>
      <c r="H356" s="120">
        <f>SUM(H357:H360)</f>
        <v>0</v>
      </c>
      <c r="I356" s="120">
        <f>SUM(I357:I360)</f>
        <v>12800</v>
      </c>
      <c r="J356" s="121">
        <f>SUM(J357:J360)</f>
        <v>0</v>
      </c>
      <c r="K356" s="121">
        <f>I356-J356</f>
        <v>12800</v>
      </c>
      <c r="L356" s="120">
        <f>SUM(L357:L360)</f>
        <v>0</v>
      </c>
      <c r="M356" s="120">
        <f>SUM(M357:M360)</f>
        <v>0</v>
      </c>
      <c r="N356" s="120">
        <f t="shared" si="81"/>
        <v>12800</v>
      </c>
      <c r="O356" s="120">
        <f>SUM(O357:O360)</f>
        <v>0</v>
      </c>
    </row>
    <row r="357" spans="1:15" outlineLevel="1" x14ac:dyDescent="0.25">
      <c r="A357" s="376"/>
      <c r="B357" s="378"/>
      <c r="C357" s="378"/>
      <c r="D357" s="378"/>
      <c r="E357" s="380"/>
      <c r="F357" s="132" t="s">
        <v>8</v>
      </c>
      <c r="G357" s="133">
        <f>SUM(H357:H357,N357:O357)</f>
        <v>0</v>
      </c>
      <c r="H357" s="133"/>
      <c r="I357" s="179"/>
      <c r="J357" s="180"/>
      <c r="K357" s="136">
        <f t="shared" ref="K357:K379" si="115">I357-J357</f>
        <v>0</v>
      </c>
      <c r="L357" s="179"/>
      <c r="M357" s="179"/>
      <c r="N357" s="120">
        <f t="shared" si="81"/>
        <v>0</v>
      </c>
      <c r="O357" s="133"/>
    </row>
    <row r="358" spans="1:15" outlineLevel="1" x14ac:dyDescent="0.25">
      <c r="A358" s="376"/>
      <c r="B358" s="378"/>
      <c r="C358" s="378"/>
      <c r="D358" s="378"/>
      <c r="E358" s="380"/>
      <c r="F358" s="132" t="s">
        <v>9</v>
      </c>
      <c r="G358" s="133">
        <f>SUM(H358:H358,N358:O358)</f>
        <v>0</v>
      </c>
      <c r="H358" s="133"/>
      <c r="I358" s="133"/>
      <c r="J358" s="136"/>
      <c r="K358" s="136">
        <f t="shared" si="115"/>
        <v>0</v>
      </c>
      <c r="L358" s="133"/>
      <c r="M358" s="133"/>
      <c r="N358" s="120">
        <f t="shared" si="81"/>
        <v>0</v>
      </c>
      <c r="O358" s="133"/>
    </row>
    <row r="359" spans="1:15" outlineLevel="1" x14ac:dyDescent="0.25">
      <c r="A359" s="376"/>
      <c r="B359" s="378"/>
      <c r="C359" s="378"/>
      <c r="D359" s="378"/>
      <c r="E359" s="380"/>
      <c r="F359" s="132" t="s">
        <v>10</v>
      </c>
      <c r="G359" s="133">
        <f>SUM(H359:H359,N359:O359)</f>
        <v>12800</v>
      </c>
      <c r="H359" s="133"/>
      <c r="I359" s="133">
        <v>12800</v>
      </c>
      <c r="J359" s="136"/>
      <c r="K359" s="136">
        <f t="shared" si="115"/>
        <v>12800</v>
      </c>
      <c r="L359" s="133"/>
      <c r="M359" s="133"/>
      <c r="N359" s="120">
        <f t="shared" si="81"/>
        <v>12800</v>
      </c>
      <c r="O359" s="133"/>
    </row>
    <row r="360" spans="1:15" outlineLevel="1" x14ac:dyDescent="0.25">
      <c r="A360" s="376"/>
      <c r="B360" s="378"/>
      <c r="C360" s="378"/>
      <c r="D360" s="378"/>
      <c r="E360" s="380"/>
      <c r="F360" s="132" t="s">
        <v>11</v>
      </c>
      <c r="G360" s="133">
        <f>SUM(H360:H360,N360:O360)</f>
        <v>0</v>
      </c>
      <c r="H360" s="133"/>
      <c r="I360" s="133"/>
      <c r="J360" s="136"/>
      <c r="K360" s="136">
        <f t="shared" si="115"/>
        <v>0</v>
      </c>
      <c r="L360" s="133"/>
      <c r="M360" s="133"/>
      <c r="N360" s="120">
        <f t="shared" si="81"/>
        <v>0</v>
      </c>
      <c r="O360" s="133"/>
    </row>
    <row r="361" spans="1:15" outlineLevel="1" x14ac:dyDescent="0.25">
      <c r="A361" s="376" t="s">
        <v>80</v>
      </c>
      <c r="B361" s="378" t="s">
        <v>60</v>
      </c>
      <c r="C361" s="378" t="s">
        <v>193</v>
      </c>
      <c r="D361" s="378" t="s">
        <v>78</v>
      </c>
      <c r="E361" s="380" t="s">
        <v>16</v>
      </c>
      <c r="F361" s="119" t="s">
        <v>7</v>
      </c>
      <c r="G361" s="120">
        <f>SUM(G362:G365)</f>
        <v>168000</v>
      </c>
      <c r="H361" s="120">
        <f>SUM(H362:H365)</f>
        <v>0</v>
      </c>
      <c r="I361" s="120">
        <f>SUM(I362:I365)</f>
        <v>0</v>
      </c>
      <c r="J361" s="121"/>
      <c r="K361" s="121">
        <f>I361-J361</f>
        <v>0</v>
      </c>
      <c r="L361" s="120">
        <f>SUM(L362:L365)</f>
        <v>78000</v>
      </c>
      <c r="M361" s="120">
        <f>SUM(M362:M365)</f>
        <v>90000</v>
      </c>
      <c r="N361" s="120">
        <f t="shared" si="81"/>
        <v>168000</v>
      </c>
      <c r="O361" s="120">
        <f>SUM(O362:O365)</f>
        <v>0</v>
      </c>
    </row>
    <row r="362" spans="1:15" outlineLevel="1" x14ac:dyDescent="0.25">
      <c r="A362" s="376"/>
      <c r="B362" s="378"/>
      <c r="C362" s="378"/>
      <c r="D362" s="378"/>
      <c r="E362" s="380"/>
      <c r="F362" s="132" t="s">
        <v>8</v>
      </c>
      <c r="G362" s="133">
        <f>SUM(H362:H362,N362:O362)</f>
        <v>0</v>
      </c>
      <c r="H362" s="133"/>
      <c r="I362" s="179"/>
      <c r="J362" s="180"/>
      <c r="K362" s="136">
        <f t="shared" si="115"/>
        <v>0</v>
      </c>
      <c r="L362" s="179"/>
      <c r="M362" s="179"/>
      <c r="N362" s="120">
        <f t="shared" ref="N362:N379" si="116">SUM(I362,L362:M362)</f>
        <v>0</v>
      </c>
      <c r="O362" s="133"/>
    </row>
    <row r="363" spans="1:15" outlineLevel="1" x14ac:dyDescent="0.25">
      <c r="A363" s="376"/>
      <c r="B363" s="378"/>
      <c r="C363" s="378"/>
      <c r="D363" s="378"/>
      <c r="E363" s="380"/>
      <c r="F363" s="132" t="s">
        <v>9</v>
      </c>
      <c r="G363" s="133">
        <f>SUM(H363:H363,N363:O363)</f>
        <v>168000</v>
      </c>
      <c r="H363" s="133"/>
      <c r="I363" s="133"/>
      <c r="J363" s="136"/>
      <c r="K363" s="136">
        <f t="shared" si="115"/>
        <v>0</v>
      </c>
      <c r="L363" s="133">
        <v>78000</v>
      </c>
      <c r="M363" s="133">
        <v>90000</v>
      </c>
      <c r="N363" s="120">
        <f t="shared" si="116"/>
        <v>168000</v>
      </c>
      <c r="O363" s="133"/>
    </row>
    <row r="364" spans="1:15" outlineLevel="1" x14ac:dyDescent="0.25">
      <c r="A364" s="376"/>
      <c r="B364" s="378"/>
      <c r="C364" s="378"/>
      <c r="D364" s="378"/>
      <c r="E364" s="380"/>
      <c r="F364" s="132" t="s">
        <v>10</v>
      </c>
      <c r="G364" s="133">
        <f>SUM(H364:H364,N364:O364)</f>
        <v>0</v>
      </c>
      <c r="H364" s="133"/>
      <c r="I364" s="133"/>
      <c r="J364" s="136"/>
      <c r="K364" s="136">
        <f t="shared" si="115"/>
        <v>0</v>
      </c>
      <c r="L364" s="133"/>
      <c r="M364" s="133"/>
      <c r="N364" s="120">
        <f t="shared" si="116"/>
        <v>0</v>
      </c>
      <c r="O364" s="133"/>
    </row>
    <row r="365" spans="1:15" outlineLevel="1" x14ac:dyDescent="0.25">
      <c r="A365" s="376"/>
      <c r="B365" s="378"/>
      <c r="C365" s="378"/>
      <c r="D365" s="378"/>
      <c r="E365" s="380"/>
      <c r="F365" s="132" t="s">
        <v>11</v>
      </c>
      <c r="G365" s="133">
        <f>SUM(H365:H365,N365:O365)</f>
        <v>0</v>
      </c>
      <c r="H365" s="133"/>
      <c r="I365" s="133"/>
      <c r="J365" s="136"/>
      <c r="K365" s="136">
        <f t="shared" si="115"/>
        <v>0</v>
      </c>
      <c r="L365" s="133"/>
      <c r="M365" s="133"/>
      <c r="N365" s="120">
        <f t="shared" si="116"/>
        <v>0</v>
      </c>
      <c r="O365" s="133"/>
    </row>
    <row r="366" spans="1:15" outlineLevel="1" x14ac:dyDescent="0.25">
      <c r="A366" s="376" t="s">
        <v>81</v>
      </c>
      <c r="B366" s="378" t="s">
        <v>61</v>
      </c>
      <c r="C366" s="378" t="s">
        <v>194</v>
      </c>
      <c r="D366" s="378" t="s">
        <v>59</v>
      </c>
      <c r="E366" s="377">
        <v>2023</v>
      </c>
      <c r="F366" s="126" t="s">
        <v>7</v>
      </c>
      <c r="G366" s="120">
        <f t="shared" ref="G366:M366" si="117">SUM(G367:G370)</f>
        <v>3000</v>
      </c>
      <c r="H366" s="120">
        <f t="shared" si="117"/>
        <v>0</v>
      </c>
      <c r="I366" s="120">
        <f t="shared" si="117"/>
        <v>3000</v>
      </c>
      <c r="J366" s="121">
        <f t="shared" si="117"/>
        <v>3000</v>
      </c>
      <c r="K366" s="121">
        <f>I366-J366</f>
        <v>0</v>
      </c>
      <c r="L366" s="120">
        <f t="shared" si="117"/>
        <v>0</v>
      </c>
      <c r="M366" s="120">
        <f t="shared" si="117"/>
        <v>0</v>
      </c>
      <c r="N366" s="120">
        <f t="shared" si="116"/>
        <v>3000</v>
      </c>
      <c r="O366" s="120">
        <f>SUM(O367:O370)</f>
        <v>0</v>
      </c>
    </row>
    <row r="367" spans="1:15" outlineLevel="1" x14ac:dyDescent="0.25">
      <c r="A367" s="376"/>
      <c r="B367" s="378"/>
      <c r="C367" s="378"/>
      <c r="D367" s="378"/>
      <c r="E367" s="377"/>
      <c r="F367" s="132" t="s">
        <v>8</v>
      </c>
      <c r="G367" s="133">
        <f>SUM(H367:H367,N367:O367)</f>
        <v>0</v>
      </c>
      <c r="H367" s="133"/>
      <c r="I367" s="133"/>
      <c r="J367" s="136"/>
      <c r="K367" s="136">
        <f t="shared" si="115"/>
        <v>0</v>
      </c>
      <c r="L367" s="133"/>
      <c r="M367" s="133"/>
      <c r="N367" s="120">
        <f t="shared" si="116"/>
        <v>0</v>
      </c>
      <c r="O367" s="133"/>
    </row>
    <row r="368" spans="1:15" outlineLevel="1" x14ac:dyDescent="0.25">
      <c r="A368" s="376"/>
      <c r="B368" s="378"/>
      <c r="C368" s="378"/>
      <c r="D368" s="378"/>
      <c r="E368" s="377"/>
      <c r="F368" s="132" t="s">
        <v>9</v>
      </c>
      <c r="G368" s="133">
        <f>SUM(H368:H368,N368:O368)</f>
        <v>0</v>
      </c>
      <c r="H368" s="133"/>
      <c r="I368" s="133"/>
      <c r="J368" s="136"/>
      <c r="K368" s="136">
        <f t="shared" si="115"/>
        <v>0</v>
      </c>
      <c r="L368" s="133"/>
      <c r="M368" s="133"/>
      <c r="N368" s="120">
        <f t="shared" si="116"/>
        <v>0</v>
      </c>
      <c r="O368" s="133"/>
    </row>
    <row r="369" spans="1:15" outlineLevel="1" x14ac:dyDescent="0.25">
      <c r="A369" s="376"/>
      <c r="B369" s="378"/>
      <c r="C369" s="378"/>
      <c r="D369" s="378"/>
      <c r="E369" s="377"/>
      <c r="F369" s="132" t="s">
        <v>10</v>
      </c>
      <c r="G369" s="133">
        <f>SUM(H369:H369,N369:O369)</f>
        <v>3000</v>
      </c>
      <c r="H369" s="133"/>
      <c r="I369" s="133">
        <v>3000</v>
      </c>
      <c r="J369" s="136">
        <v>3000</v>
      </c>
      <c r="K369" s="136">
        <f t="shared" si="115"/>
        <v>0</v>
      </c>
      <c r="L369" s="133"/>
      <c r="M369" s="133"/>
      <c r="N369" s="120">
        <f t="shared" si="116"/>
        <v>3000</v>
      </c>
      <c r="O369" s="133"/>
    </row>
    <row r="370" spans="1:15" outlineLevel="1" x14ac:dyDescent="0.25">
      <c r="A370" s="376"/>
      <c r="B370" s="378"/>
      <c r="C370" s="378"/>
      <c r="D370" s="378"/>
      <c r="E370" s="377"/>
      <c r="F370" s="132" t="s">
        <v>11</v>
      </c>
      <c r="G370" s="133">
        <f>SUM(H370:H370,N370:O370)</f>
        <v>0</v>
      </c>
      <c r="H370" s="133"/>
      <c r="I370" s="133"/>
      <c r="J370" s="136"/>
      <c r="K370" s="136">
        <f t="shared" si="115"/>
        <v>0</v>
      </c>
      <c r="L370" s="133"/>
      <c r="M370" s="133"/>
      <c r="N370" s="120">
        <f t="shared" si="116"/>
        <v>0</v>
      </c>
      <c r="O370" s="133"/>
    </row>
    <row r="371" spans="1:15" outlineLevel="1" x14ac:dyDescent="0.25">
      <c r="A371" s="376" t="s">
        <v>82</v>
      </c>
      <c r="B371" s="378" t="s">
        <v>62</v>
      </c>
      <c r="C371" s="378" t="s">
        <v>194</v>
      </c>
      <c r="D371" s="378" t="s">
        <v>59</v>
      </c>
      <c r="E371" s="377" t="s">
        <v>16</v>
      </c>
      <c r="F371" s="126" t="s">
        <v>7</v>
      </c>
      <c r="G371" s="120">
        <f>SUM(G372:G375)</f>
        <v>87971</v>
      </c>
      <c r="H371" s="120">
        <f>SUM(H372:H375)</f>
        <v>0</v>
      </c>
      <c r="I371" s="120">
        <f>SUM(I372:I375)</f>
        <v>0</v>
      </c>
      <c r="J371" s="121"/>
      <c r="K371" s="121">
        <f>I371-J371</f>
        <v>0</v>
      </c>
      <c r="L371" s="120">
        <f>SUM(L372:L375)</f>
        <v>15150</v>
      </c>
      <c r="M371" s="120">
        <f>SUM(M372:M375)</f>
        <v>72821</v>
      </c>
      <c r="N371" s="120">
        <f t="shared" si="116"/>
        <v>87971</v>
      </c>
      <c r="O371" s="120">
        <f>SUM(O372:O375)</f>
        <v>0</v>
      </c>
    </row>
    <row r="372" spans="1:15" outlineLevel="1" x14ac:dyDescent="0.25">
      <c r="A372" s="376"/>
      <c r="B372" s="378"/>
      <c r="C372" s="378"/>
      <c r="D372" s="378"/>
      <c r="E372" s="377"/>
      <c r="F372" s="132" t="s">
        <v>8</v>
      </c>
      <c r="G372" s="133">
        <f>SUM(H372:H372,N372:O372)</f>
        <v>0</v>
      </c>
      <c r="H372" s="133"/>
      <c r="I372" s="133"/>
      <c r="J372" s="136"/>
      <c r="K372" s="136">
        <f t="shared" si="115"/>
        <v>0</v>
      </c>
      <c r="L372" s="133"/>
      <c r="M372" s="133"/>
      <c r="N372" s="120">
        <f t="shared" si="116"/>
        <v>0</v>
      </c>
      <c r="O372" s="133"/>
    </row>
    <row r="373" spans="1:15" outlineLevel="1" x14ac:dyDescent="0.25">
      <c r="A373" s="376"/>
      <c r="B373" s="378"/>
      <c r="C373" s="378"/>
      <c r="D373" s="378"/>
      <c r="E373" s="377"/>
      <c r="F373" s="132" t="s">
        <v>9</v>
      </c>
      <c r="G373" s="133">
        <f>SUM(H373:H373,N373:O373)</f>
        <v>87100</v>
      </c>
      <c r="H373" s="133"/>
      <c r="I373" s="133"/>
      <c r="J373" s="136"/>
      <c r="K373" s="136">
        <f t="shared" si="115"/>
        <v>0</v>
      </c>
      <c r="L373" s="31">
        <v>15000</v>
      </c>
      <c r="M373" s="31">
        <v>72100</v>
      </c>
      <c r="N373" s="120">
        <f t="shared" si="116"/>
        <v>87100</v>
      </c>
      <c r="O373" s="133"/>
    </row>
    <row r="374" spans="1:15" outlineLevel="1" x14ac:dyDescent="0.25">
      <c r="A374" s="376"/>
      <c r="B374" s="378"/>
      <c r="C374" s="378"/>
      <c r="D374" s="378"/>
      <c r="E374" s="377"/>
      <c r="F374" s="132" t="s">
        <v>10</v>
      </c>
      <c r="G374" s="133">
        <f>SUM(H374:H374,N374:O374)</f>
        <v>871</v>
      </c>
      <c r="H374" s="133"/>
      <c r="I374" s="133"/>
      <c r="J374" s="136"/>
      <c r="K374" s="136">
        <f t="shared" si="115"/>
        <v>0</v>
      </c>
      <c r="L374" s="133">
        <v>150</v>
      </c>
      <c r="M374" s="133">
        <v>721</v>
      </c>
      <c r="N374" s="120">
        <f t="shared" si="116"/>
        <v>871</v>
      </c>
      <c r="O374" s="133"/>
    </row>
    <row r="375" spans="1:15" outlineLevel="1" x14ac:dyDescent="0.25">
      <c r="A375" s="376"/>
      <c r="B375" s="378"/>
      <c r="C375" s="378"/>
      <c r="D375" s="378"/>
      <c r="E375" s="377"/>
      <c r="F375" s="132" t="s">
        <v>11</v>
      </c>
      <c r="G375" s="133">
        <f>SUM(H375:H375,N375:O375)</f>
        <v>0</v>
      </c>
      <c r="H375" s="133"/>
      <c r="I375" s="133"/>
      <c r="J375" s="136"/>
      <c r="K375" s="136">
        <f t="shared" si="115"/>
        <v>0</v>
      </c>
      <c r="L375" s="133"/>
      <c r="M375" s="133"/>
      <c r="N375" s="120">
        <f t="shared" si="116"/>
        <v>0</v>
      </c>
      <c r="O375" s="133"/>
    </row>
    <row r="376" spans="1:15" outlineLevel="1" x14ac:dyDescent="0.25">
      <c r="A376" s="376" t="s">
        <v>83</v>
      </c>
      <c r="B376" s="378" t="s">
        <v>167</v>
      </c>
      <c r="C376" s="380"/>
      <c r="D376" s="378" t="s">
        <v>59</v>
      </c>
      <c r="E376" s="377" t="s">
        <v>30</v>
      </c>
      <c r="F376" s="126" t="s">
        <v>7</v>
      </c>
      <c r="G376" s="120">
        <f>SUM(G377:G380)</f>
        <v>8291.83</v>
      </c>
      <c r="H376" s="120">
        <f>SUM(H377:H380)</f>
        <v>7668.47</v>
      </c>
      <c r="I376" s="120">
        <f>SUM(I377:I380)</f>
        <v>623.36</v>
      </c>
      <c r="J376" s="121">
        <f>SUM(J377:J380)</f>
        <v>623.36</v>
      </c>
      <c r="K376" s="121">
        <f>I376-J376</f>
        <v>0</v>
      </c>
      <c r="L376" s="120">
        <f>SUM(L377:L380)</f>
        <v>0</v>
      </c>
      <c r="M376" s="120">
        <f>SUM(M377:M380)</f>
        <v>0</v>
      </c>
      <c r="N376" s="120">
        <f t="shared" si="116"/>
        <v>623.36</v>
      </c>
      <c r="O376" s="120">
        <f>SUM(O377:O380)</f>
        <v>0</v>
      </c>
    </row>
    <row r="377" spans="1:15" outlineLevel="1" x14ac:dyDescent="0.25">
      <c r="A377" s="376"/>
      <c r="B377" s="378"/>
      <c r="C377" s="380"/>
      <c r="D377" s="378"/>
      <c r="E377" s="377"/>
      <c r="F377" s="132" t="s">
        <v>8</v>
      </c>
      <c r="G377" s="133">
        <f>SUM(H377:H377,N377:O377)</f>
        <v>0</v>
      </c>
      <c r="H377" s="133"/>
      <c r="I377" s="133"/>
      <c r="J377" s="136"/>
      <c r="K377" s="136">
        <f t="shared" si="115"/>
        <v>0</v>
      </c>
      <c r="L377" s="133"/>
      <c r="M377" s="133"/>
      <c r="N377" s="120">
        <f t="shared" si="116"/>
        <v>0</v>
      </c>
      <c r="O377" s="133"/>
    </row>
    <row r="378" spans="1:15" outlineLevel="1" x14ac:dyDescent="0.25">
      <c r="A378" s="376"/>
      <c r="B378" s="378"/>
      <c r="C378" s="380"/>
      <c r="D378" s="378"/>
      <c r="E378" s="377"/>
      <c r="F378" s="132" t="s">
        <v>9</v>
      </c>
      <c r="G378" s="133">
        <f>SUM(H378:H378,N378:O378)</f>
        <v>0</v>
      </c>
      <c r="H378" s="133"/>
      <c r="I378" s="133"/>
      <c r="J378" s="136"/>
      <c r="K378" s="136">
        <f t="shared" si="115"/>
        <v>0</v>
      </c>
      <c r="L378" s="133"/>
      <c r="M378" s="133"/>
      <c r="N378" s="120">
        <f t="shared" si="116"/>
        <v>0</v>
      </c>
      <c r="O378" s="133"/>
    </row>
    <row r="379" spans="1:15" outlineLevel="1" x14ac:dyDescent="0.25">
      <c r="A379" s="376"/>
      <c r="B379" s="378"/>
      <c r="C379" s="380"/>
      <c r="D379" s="378"/>
      <c r="E379" s="377"/>
      <c r="F379" s="132" t="s">
        <v>10</v>
      </c>
      <c r="G379" s="133">
        <f>SUM(H379:H379,N379:O379)</f>
        <v>8291.83</v>
      </c>
      <c r="H379" s="133">
        <v>7668.47</v>
      </c>
      <c r="I379" s="133">
        <v>623.36</v>
      </c>
      <c r="J379" s="136">
        <v>623.36</v>
      </c>
      <c r="K379" s="136">
        <f t="shared" si="115"/>
        <v>0</v>
      </c>
      <c r="L379" s="133"/>
      <c r="M379" s="133"/>
      <c r="N379" s="120">
        <f t="shared" si="116"/>
        <v>623.36</v>
      </c>
      <c r="O379" s="133"/>
    </row>
    <row r="380" spans="1:15" outlineLevel="1" x14ac:dyDescent="0.25">
      <c r="A380" s="377"/>
      <c r="B380" s="379"/>
      <c r="C380" s="379"/>
      <c r="D380" s="377"/>
      <c r="E380" s="379"/>
      <c r="F380" s="132" t="s">
        <v>11</v>
      </c>
      <c r="G380" s="133">
        <f>SUM(H380:H380,N380:O380)</f>
        <v>0</v>
      </c>
      <c r="H380" s="133"/>
      <c r="I380" s="133"/>
      <c r="J380" s="136"/>
      <c r="K380" s="136"/>
      <c r="L380" s="133"/>
      <c r="M380" s="133"/>
      <c r="N380" s="120"/>
      <c r="O380" s="133"/>
    </row>
    <row r="381" spans="1:15" outlineLevel="1" x14ac:dyDescent="0.25">
      <c r="A381" s="376" t="s">
        <v>84</v>
      </c>
      <c r="B381" s="378" t="s">
        <v>67</v>
      </c>
      <c r="C381" s="378" t="s">
        <v>69</v>
      </c>
      <c r="D381" s="378" t="s">
        <v>59</v>
      </c>
      <c r="E381" s="380" t="s">
        <v>16</v>
      </c>
      <c r="F381" s="126" t="s">
        <v>7</v>
      </c>
      <c r="G381" s="120">
        <f>SUM(G382:G385)</f>
        <v>45000</v>
      </c>
      <c r="H381" s="120">
        <f>SUM(H382:H385)</f>
        <v>0</v>
      </c>
      <c r="I381" s="120">
        <f>SUM(I382:I385)</f>
        <v>0</v>
      </c>
      <c r="J381" s="121"/>
      <c r="K381" s="121">
        <f>I381-J381</f>
        <v>0</v>
      </c>
      <c r="L381" s="120">
        <f>SUM(L382:L385)</f>
        <v>5000</v>
      </c>
      <c r="M381" s="120">
        <f>SUM(M382:M385)</f>
        <v>40000</v>
      </c>
      <c r="N381" s="120">
        <f t="shared" ref="N381:N410" si="118">SUM(I381,L381:M381)</f>
        <v>45000</v>
      </c>
      <c r="O381" s="120">
        <f>SUM(O382:O385)</f>
        <v>0</v>
      </c>
    </row>
    <row r="382" spans="1:15" outlineLevel="1" x14ac:dyDescent="0.25">
      <c r="A382" s="376"/>
      <c r="B382" s="378"/>
      <c r="C382" s="378"/>
      <c r="D382" s="378"/>
      <c r="E382" s="380"/>
      <c r="F382" s="132" t="s">
        <v>8</v>
      </c>
      <c r="G382" s="133">
        <f>SUM(H382:H382,N382:O382)</f>
        <v>0</v>
      </c>
      <c r="H382" s="137"/>
      <c r="I382" s="137"/>
      <c r="J382" s="138"/>
      <c r="K382" s="136">
        <f t="shared" ref="K382:K385" si="119">I382-J382</f>
        <v>0</v>
      </c>
      <c r="L382" s="137"/>
      <c r="M382" s="137"/>
      <c r="N382" s="120">
        <f t="shared" si="118"/>
        <v>0</v>
      </c>
      <c r="O382" s="137"/>
    </row>
    <row r="383" spans="1:15" outlineLevel="1" x14ac:dyDescent="0.25">
      <c r="A383" s="376"/>
      <c r="B383" s="378"/>
      <c r="C383" s="378"/>
      <c r="D383" s="378"/>
      <c r="E383" s="380"/>
      <c r="F383" s="132" t="s">
        <v>9</v>
      </c>
      <c r="G383" s="133">
        <f>SUM(H383:H383,N383:O383)</f>
        <v>10000</v>
      </c>
      <c r="H383" s="137"/>
      <c r="I383" s="137"/>
      <c r="J383" s="138"/>
      <c r="K383" s="136">
        <f t="shared" si="119"/>
        <v>0</v>
      </c>
      <c r="L383" s="34">
        <v>5000</v>
      </c>
      <c r="M383" s="34">
        <v>5000</v>
      </c>
      <c r="N383" s="120">
        <f t="shared" si="118"/>
        <v>10000</v>
      </c>
      <c r="O383" s="137"/>
    </row>
    <row r="384" spans="1:15" outlineLevel="1" x14ac:dyDescent="0.25">
      <c r="A384" s="376"/>
      <c r="B384" s="378"/>
      <c r="C384" s="378"/>
      <c r="D384" s="378"/>
      <c r="E384" s="380"/>
      <c r="F384" s="132" t="s">
        <v>10</v>
      </c>
      <c r="G384" s="133">
        <f>SUM(H384:H384,N384:O384)</f>
        <v>35000</v>
      </c>
      <c r="H384" s="137"/>
      <c r="I384" s="137"/>
      <c r="J384" s="138"/>
      <c r="K384" s="136">
        <f t="shared" si="119"/>
        <v>0</v>
      </c>
      <c r="L384" s="137"/>
      <c r="M384" s="137">
        <v>35000</v>
      </c>
      <c r="N384" s="120">
        <f t="shared" si="118"/>
        <v>35000</v>
      </c>
      <c r="O384" s="137"/>
    </row>
    <row r="385" spans="1:27" outlineLevel="1" x14ac:dyDescent="0.25">
      <c r="A385" s="376"/>
      <c r="B385" s="378"/>
      <c r="C385" s="378"/>
      <c r="D385" s="378"/>
      <c r="E385" s="380"/>
      <c r="F385" s="132" t="s">
        <v>11</v>
      </c>
      <c r="G385" s="133">
        <f>SUM(H385:H385,N385:O385)</f>
        <v>0</v>
      </c>
      <c r="H385" s="137"/>
      <c r="I385" s="137"/>
      <c r="J385" s="138"/>
      <c r="K385" s="136">
        <f t="shared" si="119"/>
        <v>0</v>
      </c>
      <c r="L385" s="137"/>
      <c r="M385" s="137"/>
      <c r="N385" s="120">
        <f t="shared" si="118"/>
        <v>0</v>
      </c>
      <c r="O385" s="137"/>
    </row>
    <row r="386" spans="1:27" s="47" customFormat="1" outlineLevel="1" x14ac:dyDescent="0.25">
      <c r="A386" s="371" t="s">
        <v>261</v>
      </c>
      <c r="B386" s="372" t="s">
        <v>262</v>
      </c>
      <c r="C386" s="375"/>
      <c r="D386" s="372" t="s">
        <v>59</v>
      </c>
      <c r="E386" s="374">
        <v>2022</v>
      </c>
      <c r="F386" s="50" t="s">
        <v>7</v>
      </c>
      <c r="G386" s="51">
        <f>SUM(G387:G390)</f>
        <v>7263.87</v>
      </c>
      <c r="H386" s="51">
        <f>SUM(H387:H390)</f>
        <v>7263.87</v>
      </c>
      <c r="I386" s="51">
        <f>SUM(I387:I390)</f>
        <v>0</v>
      </c>
      <c r="J386" s="154"/>
      <c r="K386" s="154">
        <f>I386-J386</f>
        <v>0</v>
      </c>
      <c r="L386" s="51">
        <f>SUM(L387:L390)</f>
        <v>0</v>
      </c>
      <c r="M386" s="51">
        <f>SUM(M387:M390)</f>
        <v>0</v>
      </c>
      <c r="N386" s="51">
        <f t="shared" si="118"/>
        <v>0</v>
      </c>
      <c r="O386" s="51">
        <f>SUM(O387:O390)</f>
        <v>0</v>
      </c>
      <c r="S386" s="149"/>
      <c r="T386" s="149"/>
      <c r="U386" s="149"/>
      <c r="V386" s="149"/>
      <c r="W386" s="149"/>
      <c r="X386" s="149"/>
      <c r="Y386" s="149"/>
      <c r="Z386" s="149"/>
      <c r="AA386" s="149"/>
    </row>
    <row r="387" spans="1:27" s="47" customFormat="1" outlineLevel="1" x14ac:dyDescent="0.25">
      <c r="A387" s="371"/>
      <c r="B387" s="372"/>
      <c r="C387" s="375"/>
      <c r="D387" s="372"/>
      <c r="E387" s="374"/>
      <c r="F387" s="52" t="s">
        <v>8</v>
      </c>
      <c r="G387" s="53">
        <f>SUM(H387:H387,N387:O387)</f>
        <v>0</v>
      </c>
      <c r="H387" s="53"/>
      <c r="I387" s="53"/>
      <c r="J387" s="155"/>
      <c r="K387" s="155">
        <f t="shared" ref="K387:K390" si="120">I387-J387</f>
        <v>0</v>
      </c>
      <c r="L387" s="53"/>
      <c r="M387" s="53"/>
      <c r="N387" s="51">
        <f t="shared" si="118"/>
        <v>0</v>
      </c>
      <c r="O387" s="53"/>
      <c r="S387" s="149"/>
      <c r="T387" s="149"/>
      <c r="U387" s="149"/>
      <c r="V387" s="149"/>
      <c r="W387" s="149"/>
      <c r="X387" s="149"/>
      <c r="Y387" s="149"/>
      <c r="Z387" s="149"/>
      <c r="AA387" s="149"/>
    </row>
    <row r="388" spans="1:27" s="47" customFormat="1" outlineLevel="1" x14ac:dyDescent="0.25">
      <c r="A388" s="371"/>
      <c r="B388" s="372"/>
      <c r="C388" s="375"/>
      <c r="D388" s="372"/>
      <c r="E388" s="374"/>
      <c r="F388" s="52" t="s">
        <v>9</v>
      </c>
      <c r="G388" s="53">
        <f>SUM(H388:H388,N388:O388)</f>
        <v>0</v>
      </c>
      <c r="H388" s="53"/>
      <c r="I388" s="53"/>
      <c r="J388" s="155"/>
      <c r="K388" s="155">
        <f t="shared" si="120"/>
        <v>0</v>
      </c>
      <c r="L388" s="53"/>
      <c r="M388" s="53"/>
      <c r="N388" s="51">
        <f t="shared" si="118"/>
        <v>0</v>
      </c>
      <c r="O388" s="53"/>
      <c r="S388" s="149"/>
      <c r="T388" s="149"/>
      <c r="U388" s="149"/>
      <c r="V388" s="149"/>
      <c r="W388" s="149"/>
      <c r="X388" s="149"/>
      <c r="Y388" s="149"/>
      <c r="Z388" s="149"/>
      <c r="AA388" s="149"/>
    </row>
    <row r="389" spans="1:27" s="47" customFormat="1" outlineLevel="1" x14ac:dyDescent="0.25">
      <c r="A389" s="371"/>
      <c r="B389" s="372"/>
      <c r="C389" s="375"/>
      <c r="D389" s="372"/>
      <c r="E389" s="374"/>
      <c r="F389" s="52" t="s">
        <v>10</v>
      </c>
      <c r="G389" s="53">
        <f>SUM(H389:H389,N389:O389)</f>
        <v>7263.87</v>
      </c>
      <c r="H389" s="53">
        <v>7263.87</v>
      </c>
      <c r="I389" s="53"/>
      <c r="J389" s="155"/>
      <c r="K389" s="155">
        <f t="shared" si="120"/>
        <v>0</v>
      </c>
      <c r="L389" s="53"/>
      <c r="M389" s="53"/>
      <c r="N389" s="51">
        <f t="shared" si="118"/>
        <v>0</v>
      </c>
      <c r="O389" s="53"/>
      <c r="S389" s="149"/>
      <c r="T389" s="149"/>
      <c r="U389" s="149"/>
      <c r="V389" s="149"/>
      <c r="W389" s="149"/>
      <c r="X389" s="149"/>
      <c r="Y389" s="149"/>
      <c r="Z389" s="149"/>
      <c r="AA389" s="149"/>
    </row>
    <row r="390" spans="1:27" s="47" customFormat="1" outlineLevel="1" x14ac:dyDescent="0.25">
      <c r="A390" s="371"/>
      <c r="B390" s="372"/>
      <c r="C390" s="375"/>
      <c r="D390" s="372"/>
      <c r="E390" s="374"/>
      <c r="F390" s="52" t="s">
        <v>11</v>
      </c>
      <c r="G390" s="53">
        <f>SUM(H390:H390,N390:O390)</f>
        <v>0</v>
      </c>
      <c r="H390" s="53"/>
      <c r="I390" s="53"/>
      <c r="J390" s="155"/>
      <c r="K390" s="155">
        <f t="shared" si="120"/>
        <v>0</v>
      </c>
      <c r="L390" s="53"/>
      <c r="M390" s="53"/>
      <c r="N390" s="51">
        <f t="shared" si="118"/>
        <v>0</v>
      </c>
      <c r="O390" s="53"/>
      <c r="S390" s="149"/>
      <c r="T390" s="149"/>
      <c r="U390" s="149"/>
      <c r="V390" s="149"/>
      <c r="W390" s="149"/>
      <c r="X390" s="149"/>
      <c r="Y390" s="149"/>
      <c r="Z390" s="149"/>
      <c r="AA390" s="149"/>
    </row>
    <row r="391" spans="1:27" s="47" customFormat="1" outlineLevel="1" x14ac:dyDescent="0.25">
      <c r="A391" s="371" t="s">
        <v>141</v>
      </c>
      <c r="B391" s="372" t="s">
        <v>128</v>
      </c>
      <c r="C391" s="372" t="s">
        <v>129</v>
      </c>
      <c r="D391" s="372" t="s">
        <v>78</v>
      </c>
      <c r="E391" s="374">
        <v>2024</v>
      </c>
      <c r="F391" s="50" t="s">
        <v>7</v>
      </c>
      <c r="G391" s="51">
        <f>SUM(G392:G395)</f>
        <v>7500</v>
      </c>
      <c r="H391" s="51">
        <f>SUM(H392:H395)</f>
        <v>0</v>
      </c>
      <c r="I391" s="51">
        <f>SUM(I392:I395)</f>
        <v>0</v>
      </c>
      <c r="J391" s="154"/>
      <c r="K391" s="154">
        <f>I391-J391</f>
        <v>0</v>
      </c>
      <c r="L391" s="51">
        <f>SUM(L392:L395)</f>
        <v>7500</v>
      </c>
      <c r="M391" s="51">
        <f>SUM(M392:M395)</f>
        <v>0</v>
      </c>
      <c r="N391" s="51">
        <f t="shared" si="118"/>
        <v>7500</v>
      </c>
      <c r="O391" s="51">
        <f>SUM(O392:O395)</f>
        <v>0</v>
      </c>
      <c r="S391" s="149"/>
      <c r="T391" s="149"/>
      <c r="U391" s="149"/>
      <c r="V391" s="149"/>
      <c r="W391" s="149"/>
      <c r="X391" s="149"/>
      <c r="Y391" s="149"/>
      <c r="Z391" s="149"/>
      <c r="AA391" s="149"/>
    </row>
    <row r="392" spans="1:27" s="47" customFormat="1" outlineLevel="1" x14ac:dyDescent="0.25">
      <c r="A392" s="371"/>
      <c r="B392" s="372"/>
      <c r="C392" s="372"/>
      <c r="D392" s="372"/>
      <c r="E392" s="374"/>
      <c r="F392" s="52" t="s">
        <v>8</v>
      </c>
      <c r="G392" s="53">
        <f>SUM(H392:H392,N392:O392)</f>
        <v>0</v>
      </c>
      <c r="H392" s="53"/>
      <c r="I392" s="53"/>
      <c r="J392" s="155"/>
      <c r="K392" s="155">
        <f t="shared" ref="K392:K395" si="121">I392-J392</f>
        <v>0</v>
      </c>
      <c r="L392" s="53"/>
      <c r="M392" s="53"/>
      <c r="N392" s="51">
        <f t="shared" si="118"/>
        <v>0</v>
      </c>
      <c r="O392" s="53"/>
      <c r="S392" s="149"/>
      <c r="T392" s="149"/>
      <c r="U392" s="149"/>
      <c r="V392" s="149"/>
      <c r="W392" s="149"/>
      <c r="X392" s="149"/>
      <c r="Y392" s="149"/>
      <c r="Z392" s="149"/>
      <c r="AA392" s="149"/>
    </row>
    <row r="393" spans="1:27" s="47" customFormat="1" outlineLevel="1" x14ac:dyDescent="0.25">
      <c r="A393" s="371"/>
      <c r="B393" s="372"/>
      <c r="C393" s="372"/>
      <c r="D393" s="372"/>
      <c r="E393" s="374"/>
      <c r="F393" s="52" t="s">
        <v>9</v>
      </c>
      <c r="G393" s="53">
        <f>SUM(H393:H393,N393:O393)</f>
        <v>7500</v>
      </c>
      <c r="H393" s="53"/>
      <c r="I393" s="53"/>
      <c r="J393" s="155"/>
      <c r="K393" s="155">
        <f t="shared" si="121"/>
        <v>0</v>
      </c>
      <c r="L393" s="53">
        <v>7500</v>
      </c>
      <c r="M393" s="53"/>
      <c r="N393" s="51">
        <f t="shared" si="118"/>
        <v>7500</v>
      </c>
      <c r="O393" s="53"/>
      <c r="S393" s="149"/>
      <c r="T393" s="149"/>
      <c r="U393" s="149"/>
      <c r="V393" s="149"/>
      <c r="W393" s="149"/>
      <c r="X393" s="149"/>
      <c r="Y393" s="149"/>
      <c r="Z393" s="149"/>
      <c r="AA393" s="149"/>
    </row>
    <row r="394" spans="1:27" s="47" customFormat="1" outlineLevel="1" x14ac:dyDescent="0.25">
      <c r="A394" s="371"/>
      <c r="B394" s="372"/>
      <c r="C394" s="372"/>
      <c r="D394" s="372"/>
      <c r="E394" s="374"/>
      <c r="F394" s="52" t="s">
        <v>10</v>
      </c>
      <c r="G394" s="53">
        <f>SUM(H394:H394,N394:O394)</f>
        <v>0</v>
      </c>
      <c r="H394" s="53"/>
      <c r="I394" s="53"/>
      <c r="J394" s="155"/>
      <c r="K394" s="155">
        <f t="shared" si="121"/>
        <v>0</v>
      </c>
      <c r="L394" s="53"/>
      <c r="M394" s="53"/>
      <c r="N394" s="51">
        <f t="shared" si="118"/>
        <v>0</v>
      </c>
      <c r="O394" s="53"/>
      <c r="S394" s="149"/>
      <c r="T394" s="149"/>
      <c r="U394" s="149"/>
      <c r="V394" s="149"/>
      <c r="W394" s="149"/>
      <c r="X394" s="149"/>
      <c r="Y394" s="149"/>
      <c r="Z394" s="149"/>
      <c r="AA394" s="149"/>
    </row>
    <row r="395" spans="1:27" s="47" customFormat="1" outlineLevel="1" x14ac:dyDescent="0.25">
      <c r="A395" s="371"/>
      <c r="B395" s="372"/>
      <c r="C395" s="372"/>
      <c r="D395" s="372"/>
      <c r="E395" s="374"/>
      <c r="F395" s="52" t="s">
        <v>11</v>
      </c>
      <c r="G395" s="53">
        <f>SUM(H395:H395,N395:O395)</f>
        <v>0</v>
      </c>
      <c r="H395" s="53"/>
      <c r="I395" s="53"/>
      <c r="J395" s="155"/>
      <c r="K395" s="155">
        <f t="shared" si="121"/>
        <v>0</v>
      </c>
      <c r="L395" s="53"/>
      <c r="M395" s="53"/>
      <c r="N395" s="51">
        <f t="shared" si="118"/>
        <v>0</v>
      </c>
      <c r="O395" s="53"/>
      <c r="S395" s="149"/>
      <c r="T395" s="149"/>
      <c r="U395" s="149"/>
      <c r="V395" s="149"/>
      <c r="W395" s="149"/>
      <c r="X395" s="149"/>
      <c r="Y395" s="149"/>
      <c r="Z395" s="149"/>
      <c r="AA395" s="149"/>
    </row>
    <row r="396" spans="1:27" s="47" customFormat="1" outlineLevel="1" x14ac:dyDescent="0.25">
      <c r="A396" s="371" t="s">
        <v>142</v>
      </c>
      <c r="B396" s="372" t="s">
        <v>130</v>
      </c>
      <c r="C396" s="372" t="s">
        <v>129</v>
      </c>
      <c r="D396" s="372" t="s">
        <v>78</v>
      </c>
      <c r="E396" s="374" t="s">
        <v>115</v>
      </c>
      <c r="F396" s="50" t="s">
        <v>7</v>
      </c>
      <c r="G396" s="51">
        <f>SUM(G397:G400)</f>
        <v>89980</v>
      </c>
      <c r="H396" s="51">
        <f>SUM(H397:H400)</f>
        <v>0</v>
      </c>
      <c r="I396" s="51">
        <f>SUM(I397:I400)</f>
        <v>0</v>
      </c>
      <c r="J396" s="154"/>
      <c r="K396" s="154">
        <f>I396-J396</f>
        <v>0</v>
      </c>
      <c r="L396" s="51">
        <f>SUM(L397:L400)</f>
        <v>0</v>
      </c>
      <c r="M396" s="51">
        <f>SUM(M397:M400)</f>
        <v>34730</v>
      </c>
      <c r="N396" s="51">
        <f t="shared" si="118"/>
        <v>34730</v>
      </c>
      <c r="O396" s="51">
        <f>SUM(O397:O400)</f>
        <v>55250</v>
      </c>
      <c r="S396" s="149"/>
      <c r="T396" s="149"/>
      <c r="U396" s="149"/>
      <c r="V396" s="149"/>
      <c r="W396" s="149"/>
      <c r="X396" s="149"/>
      <c r="Y396" s="149"/>
      <c r="Z396" s="149"/>
      <c r="AA396" s="149"/>
    </row>
    <row r="397" spans="1:27" s="47" customFormat="1" outlineLevel="1" x14ac:dyDescent="0.25">
      <c r="A397" s="371"/>
      <c r="B397" s="372"/>
      <c r="C397" s="372"/>
      <c r="D397" s="372"/>
      <c r="E397" s="374"/>
      <c r="F397" s="52" t="s">
        <v>8</v>
      </c>
      <c r="G397" s="53">
        <f>SUM(H397:H397,N397:O397)</f>
        <v>0</v>
      </c>
      <c r="H397" s="53"/>
      <c r="I397" s="53"/>
      <c r="J397" s="155"/>
      <c r="K397" s="155">
        <f t="shared" ref="K397:K400" si="122">I397-J397</f>
        <v>0</v>
      </c>
      <c r="L397" s="53"/>
      <c r="M397" s="53"/>
      <c r="N397" s="51">
        <f t="shared" si="118"/>
        <v>0</v>
      </c>
      <c r="O397" s="53"/>
      <c r="S397" s="149"/>
      <c r="T397" s="149"/>
      <c r="U397" s="149"/>
      <c r="V397" s="149"/>
      <c r="W397" s="149"/>
      <c r="X397" s="149"/>
      <c r="Y397" s="149"/>
      <c r="Z397" s="149"/>
      <c r="AA397" s="149"/>
    </row>
    <row r="398" spans="1:27" s="47" customFormat="1" outlineLevel="1" x14ac:dyDescent="0.25">
      <c r="A398" s="371"/>
      <c r="B398" s="372"/>
      <c r="C398" s="372"/>
      <c r="D398" s="372"/>
      <c r="E398" s="374"/>
      <c r="F398" s="52" t="s">
        <v>9</v>
      </c>
      <c r="G398" s="53">
        <f>SUM(H398:H398,N398:O398)</f>
        <v>89980</v>
      </c>
      <c r="H398" s="53"/>
      <c r="I398" s="53"/>
      <c r="J398" s="155"/>
      <c r="K398" s="155">
        <f t="shared" si="122"/>
        <v>0</v>
      </c>
      <c r="L398" s="53"/>
      <c r="M398" s="53">
        <v>34730</v>
      </c>
      <c r="N398" s="51">
        <f t="shared" si="118"/>
        <v>34730</v>
      </c>
      <c r="O398" s="53">
        <v>55250</v>
      </c>
      <c r="S398" s="149"/>
      <c r="T398" s="149"/>
      <c r="U398" s="149"/>
      <c r="V398" s="149"/>
      <c r="W398" s="149"/>
      <c r="X398" s="149"/>
      <c r="Y398" s="149"/>
      <c r="Z398" s="149"/>
      <c r="AA398" s="149"/>
    </row>
    <row r="399" spans="1:27" s="47" customFormat="1" outlineLevel="1" x14ac:dyDescent="0.25">
      <c r="A399" s="371"/>
      <c r="B399" s="372"/>
      <c r="C399" s="372"/>
      <c r="D399" s="372"/>
      <c r="E399" s="374"/>
      <c r="F399" s="52" t="s">
        <v>10</v>
      </c>
      <c r="G399" s="53">
        <f>SUM(H399:H399,N399:O399)</f>
        <v>0</v>
      </c>
      <c r="H399" s="53"/>
      <c r="I399" s="53"/>
      <c r="J399" s="155"/>
      <c r="K399" s="155">
        <f t="shared" si="122"/>
        <v>0</v>
      </c>
      <c r="L399" s="53"/>
      <c r="M399" s="53"/>
      <c r="N399" s="51">
        <f t="shared" si="118"/>
        <v>0</v>
      </c>
      <c r="O399" s="53"/>
      <c r="S399" s="149"/>
      <c r="T399" s="149"/>
      <c r="U399" s="149"/>
      <c r="V399" s="149"/>
      <c r="W399" s="149"/>
      <c r="X399" s="149"/>
      <c r="Y399" s="149"/>
      <c r="Z399" s="149"/>
      <c r="AA399" s="149"/>
    </row>
    <row r="400" spans="1:27" s="47" customFormat="1" outlineLevel="1" x14ac:dyDescent="0.25">
      <c r="A400" s="371"/>
      <c r="B400" s="372"/>
      <c r="C400" s="372"/>
      <c r="D400" s="372"/>
      <c r="E400" s="374"/>
      <c r="F400" s="52" t="s">
        <v>11</v>
      </c>
      <c r="G400" s="53">
        <f>SUM(H400:H400,N400:O400)</f>
        <v>0</v>
      </c>
      <c r="H400" s="53"/>
      <c r="I400" s="53"/>
      <c r="J400" s="155"/>
      <c r="K400" s="155">
        <f t="shared" si="122"/>
        <v>0</v>
      </c>
      <c r="L400" s="53"/>
      <c r="M400" s="53"/>
      <c r="N400" s="51">
        <f t="shared" si="118"/>
        <v>0</v>
      </c>
      <c r="O400" s="53"/>
      <c r="S400" s="149"/>
      <c r="T400" s="149"/>
      <c r="U400" s="149"/>
      <c r="V400" s="149"/>
      <c r="W400" s="149"/>
      <c r="X400" s="149"/>
      <c r="Y400" s="149"/>
      <c r="Z400" s="149"/>
      <c r="AA400" s="149"/>
    </row>
    <row r="401" spans="1:27" s="47" customFormat="1" outlineLevel="1" x14ac:dyDescent="0.25">
      <c r="A401" s="371" t="s">
        <v>143</v>
      </c>
      <c r="B401" s="372" t="s">
        <v>131</v>
      </c>
      <c r="C401" s="372" t="s">
        <v>132</v>
      </c>
      <c r="D401" s="372" t="s">
        <v>78</v>
      </c>
      <c r="E401" s="374" t="s">
        <v>50</v>
      </c>
      <c r="F401" s="50" t="s">
        <v>7</v>
      </c>
      <c r="G401" s="51">
        <f t="shared" ref="G401:M401" si="123">SUM(G402:G405)</f>
        <v>102480</v>
      </c>
      <c r="H401" s="51">
        <f t="shared" si="123"/>
        <v>0</v>
      </c>
      <c r="I401" s="51">
        <f t="shared" si="123"/>
        <v>8480</v>
      </c>
      <c r="J401" s="154">
        <f t="shared" si="123"/>
        <v>8480</v>
      </c>
      <c r="K401" s="154">
        <f>I401-J401</f>
        <v>0</v>
      </c>
      <c r="L401" s="51">
        <f t="shared" si="123"/>
        <v>42000</v>
      </c>
      <c r="M401" s="51">
        <f t="shared" si="123"/>
        <v>52000</v>
      </c>
      <c r="N401" s="51">
        <f t="shared" si="118"/>
        <v>102480</v>
      </c>
      <c r="O401" s="51">
        <f>SUM(O402:O405)</f>
        <v>0</v>
      </c>
      <c r="S401" s="149"/>
      <c r="T401" s="149"/>
      <c r="U401" s="149"/>
      <c r="V401" s="149"/>
      <c r="W401" s="149"/>
      <c r="X401" s="149"/>
      <c r="Y401" s="149"/>
      <c r="Z401" s="149"/>
      <c r="AA401" s="149"/>
    </row>
    <row r="402" spans="1:27" s="47" customFormat="1" outlineLevel="1" x14ac:dyDescent="0.25">
      <c r="A402" s="371"/>
      <c r="B402" s="372"/>
      <c r="C402" s="372"/>
      <c r="D402" s="372"/>
      <c r="E402" s="374"/>
      <c r="F402" s="52" t="s">
        <v>8</v>
      </c>
      <c r="G402" s="53">
        <f>SUM(H402:H402,N402:O402)</f>
        <v>0</v>
      </c>
      <c r="H402" s="53"/>
      <c r="I402" s="53"/>
      <c r="J402" s="155"/>
      <c r="K402" s="155">
        <f t="shared" ref="K402:K405" si="124">I402-J402</f>
        <v>0</v>
      </c>
      <c r="L402" s="53"/>
      <c r="M402" s="53"/>
      <c r="N402" s="51">
        <f t="shared" si="118"/>
        <v>0</v>
      </c>
      <c r="O402" s="53"/>
      <c r="S402" s="149"/>
      <c r="T402" s="149"/>
      <c r="U402" s="149"/>
      <c r="V402" s="149"/>
      <c r="W402" s="149"/>
      <c r="X402" s="149"/>
      <c r="Y402" s="149"/>
      <c r="Z402" s="149"/>
      <c r="AA402" s="149"/>
    </row>
    <row r="403" spans="1:27" s="47" customFormat="1" outlineLevel="1" x14ac:dyDescent="0.25">
      <c r="A403" s="371"/>
      <c r="B403" s="372"/>
      <c r="C403" s="372"/>
      <c r="D403" s="372"/>
      <c r="E403" s="374"/>
      <c r="F403" s="52" t="s">
        <v>9</v>
      </c>
      <c r="G403" s="53">
        <f>SUM(H403:H403,N403:O403)</f>
        <v>0</v>
      </c>
      <c r="H403" s="53"/>
      <c r="I403" s="53"/>
      <c r="J403" s="155"/>
      <c r="K403" s="155">
        <f t="shared" si="124"/>
        <v>0</v>
      </c>
      <c r="L403" s="53"/>
      <c r="M403" s="53"/>
      <c r="N403" s="51">
        <f t="shared" si="118"/>
        <v>0</v>
      </c>
      <c r="O403" s="53"/>
      <c r="S403" s="149"/>
      <c r="T403" s="149"/>
      <c r="U403" s="149"/>
      <c r="V403" s="149"/>
      <c r="W403" s="149"/>
      <c r="X403" s="149"/>
      <c r="Y403" s="149"/>
      <c r="Z403" s="149"/>
      <c r="AA403" s="149"/>
    </row>
    <row r="404" spans="1:27" s="47" customFormat="1" outlineLevel="1" x14ac:dyDescent="0.25">
      <c r="A404" s="371"/>
      <c r="B404" s="372"/>
      <c r="C404" s="372"/>
      <c r="D404" s="372"/>
      <c r="E404" s="374"/>
      <c r="F404" s="52" t="s">
        <v>10</v>
      </c>
      <c r="G404" s="53">
        <f>SUM(H404:H404,N404:O404)</f>
        <v>0</v>
      </c>
      <c r="H404" s="53"/>
      <c r="I404" s="60"/>
      <c r="J404" s="181"/>
      <c r="K404" s="155">
        <f t="shared" si="124"/>
        <v>0</v>
      </c>
      <c r="L404" s="60"/>
      <c r="M404" s="53"/>
      <c r="N404" s="51">
        <f t="shared" si="118"/>
        <v>0</v>
      </c>
      <c r="O404" s="53"/>
      <c r="S404" s="149"/>
      <c r="T404" s="149"/>
      <c r="U404" s="149"/>
      <c r="V404" s="149"/>
      <c r="W404" s="149"/>
      <c r="X404" s="149"/>
      <c r="Y404" s="149"/>
      <c r="Z404" s="149"/>
      <c r="AA404" s="149"/>
    </row>
    <row r="405" spans="1:27" s="47" customFormat="1" outlineLevel="1" x14ac:dyDescent="0.25">
      <c r="A405" s="371"/>
      <c r="B405" s="372"/>
      <c r="C405" s="372"/>
      <c r="D405" s="372"/>
      <c r="E405" s="374"/>
      <c r="F405" s="52" t="s">
        <v>11</v>
      </c>
      <c r="G405" s="53">
        <f>SUM(H405:H405,N405:O405)</f>
        <v>102480</v>
      </c>
      <c r="H405" s="60"/>
      <c r="I405" s="53">
        <v>8480</v>
      </c>
      <c r="J405" s="155">
        <v>8480</v>
      </c>
      <c r="K405" s="155">
        <f t="shared" si="124"/>
        <v>0</v>
      </c>
      <c r="L405" s="53">
        <v>42000</v>
      </c>
      <c r="M405" s="53">
        <v>52000</v>
      </c>
      <c r="N405" s="51">
        <f t="shared" si="118"/>
        <v>102480</v>
      </c>
      <c r="O405" s="53"/>
      <c r="S405" s="149"/>
      <c r="T405" s="149"/>
      <c r="U405" s="149"/>
      <c r="V405" s="149"/>
      <c r="W405" s="149"/>
      <c r="X405" s="149"/>
      <c r="Y405" s="149"/>
      <c r="Z405" s="149"/>
      <c r="AA405" s="149"/>
    </row>
    <row r="406" spans="1:27" s="47" customFormat="1" outlineLevel="1" x14ac:dyDescent="0.25">
      <c r="A406" s="371" t="s">
        <v>144</v>
      </c>
      <c r="B406" s="372" t="s">
        <v>199</v>
      </c>
      <c r="C406" s="373"/>
      <c r="D406" s="372" t="s">
        <v>59</v>
      </c>
      <c r="E406" s="374" t="s">
        <v>38</v>
      </c>
      <c r="F406" s="50" t="s">
        <v>7</v>
      </c>
      <c r="G406" s="51">
        <f t="shared" ref="G406:M406" si="125">SUM(G407:G410)</f>
        <v>22021.78</v>
      </c>
      <c r="H406" s="51">
        <f t="shared" si="125"/>
        <v>4521.78</v>
      </c>
      <c r="I406" s="51">
        <f t="shared" si="125"/>
        <v>2500</v>
      </c>
      <c r="J406" s="154">
        <f t="shared" si="125"/>
        <v>2500</v>
      </c>
      <c r="K406" s="154">
        <f>I406-J406</f>
        <v>0</v>
      </c>
      <c r="L406" s="51">
        <f t="shared" si="125"/>
        <v>5000</v>
      </c>
      <c r="M406" s="51">
        <f t="shared" si="125"/>
        <v>5000</v>
      </c>
      <c r="N406" s="51">
        <f t="shared" si="118"/>
        <v>12500</v>
      </c>
      <c r="O406" s="51">
        <f>SUM(O407:O410)</f>
        <v>5000</v>
      </c>
      <c r="S406" s="149"/>
      <c r="T406" s="149"/>
      <c r="U406" s="149"/>
      <c r="V406" s="149"/>
      <c r="W406" s="149"/>
      <c r="X406" s="149"/>
      <c r="Y406" s="149"/>
      <c r="Z406" s="149"/>
      <c r="AA406" s="149"/>
    </row>
    <row r="407" spans="1:27" s="47" customFormat="1" outlineLevel="1" x14ac:dyDescent="0.25">
      <c r="A407" s="371"/>
      <c r="B407" s="372"/>
      <c r="C407" s="373"/>
      <c r="D407" s="372"/>
      <c r="E407" s="374"/>
      <c r="F407" s="52" t="s">
        <v>8</v>
      </c>
      <c r="G407" s="53">
        <f>SUM(H407:H407,N407:O407)</f>
        <v>0</v>
      </c>
      <c r="H407" s="53"/>
      <c r="I407" s="53"/>
      <c r="J407" s="155"/>
      <c r="K407" s="155">
        <f t="shared" ref="K407:K410" si="126">I407-J407</f>
        <v>0</v>
      </c>
      <c r="L407" s="53"/>
      <c r="M407" s="53"/>
      <c r="N407" s="51">
        <f t="shared" si="118"/>
        <v>0</v>
      </c>
      <c r="O407" s="53"/>
      <c r="S407" s="149"/>
      <c r="T407" s="149"/>
      <c r="U407" s="149"/>
      <c r="V407" s="149"/>
      <c r="W407" s="149"/>
      <c r="X407" s="149"/>
      <c r="Y407" s="149"/>
      <c r="Z407" s="149"/>
      <c r="AA407" s="149"/>
    </row>
    <row r="408" spans="1:27" s="47" customFormat="1" outlineLevel="1" x14ac:dyDescent="0.25">
      <c r="A408" s="371"/>
      <c r="B408" s="372"/>
      <c r="C408" s="373"/>
      <c r="D408" s="372"/>
      <c r="E408" s="374"/>
      <c r="F408" s="52" t="s">
        <v>9</v>
      </c>
      <c r="G408" s="53">
        <f>SUM(H408:H408,N408:O408)</f>
        <v>0</v>
      </c>
      <c r="H408" s="53"/>
      <c r="I408" s="53"/>
      <c r="J408" s="155"/>
      <c r="K408" s="155">
        <f t="shared" si="126"/>
        <v>0</v>
      </c>
      <c r="L408" s="53"/>
      <c r="M408" s="53"/>
      <c r="N408" s="51">
        <f t="shared" si="118"/>
        <v>0</v>
      </c>
      <c r="O408" s="53"/>
      <c r="S408" s="149"/>
      <c r="T408" s="149"/>
      <c r="U408" s="149"/>
      <c r="V408" s="149"/>
      <c r="W408" s="149"/>
      <c r="X408" s="149"/>
      <c r="Y408" s="149"/>
      <c r="Z408" s="149"/>
      <c r="AA408" s="149"/>
    </row>
    <row r="409" spans="1:27" s="47" customFormat="1" outlineLevel="1" x14ac:dyDescent="0.25">
      <c r="A409" s="371"/>
      <c r="B409" s="372"/>
      <c r="C409" s="373"/>
      <c r="D409" s="372"/>
      <c r="E409" s="374"/>
      <c r="F409" s="52" t="s">
        <v>10</v>
      </c>
      <c r="G409" s="53">
        <f>SUM(H409:H409,N409:O409)</f>
        <v>22021.78</v>
      </c>
      <c r="H409" s="53">
        <v>4521.78</v>
      </c>
      <c r="I409" s="53">
        <v>2500</v>
      </c>
      <c r="J409" s="155">
        <v>2500</v>
      </c>
      <c r="K409" s="155">
        <f t="shared" si="126"/>
        <v>0</v>
      </c>
      <c r="L409" s="53">
        <v>5000</v>
      </c>
      <c r="M409" s="53">
        <v>5000</v>
      </c>
      <c r="N409" s="51">
        <f t="shared" si="118"/>
        <v>12500</v>
      </c>
      <c r="O409" s="53">
        <v>5000</v>
      </c>
      <c r="S409" s="149"/>
      <c r="T409" s="149"/>
      <c r="U409" s="149"/>
      <c r="V409" s="149"/>
      <c r="W409" s="149"/>
      <c r="X409" s="149"/>
      <c r="Y409" s="149"/>
      <c r="Z409" s="149"/>
      <c r="AA409" s="149"/>
    </row>
    <row r="410" spans="1:27" s="47" customFormat="1" outlineLevel="1" x14ac:dyDescent="0.25">
      <c r="A410" s="371"/>
      <c r="B410" s="372"/>
      <c r="C410" s="373"/>
      <c r="D410" s="372"/>
      <c r="E410" s="374"/>
      <c r="F410" s="52" t="s">
        <v>11</v>
      </c>
      <c r="G410" s="53">
        <f>SUM(H410:H410,N410:O410)</f>
        <v>0</v>
      </c>
      <c r="H410" s="53"/>
      <c r="I410" s="53"/>
      <c r="J410" s="155"/>
      <c r="K410" s="155">
        <f t="shared" si="126"/>
        <v>0</v>
      </c>
      <c r="L410" s="53"/>
      <c r="M410" s="53"/>
      <c r="N410" s="51">
        <f t="shared" si="118"/>
        <v>0</v>
      </c>
      <c r="O410" s="53"/>
      <c r="S410" s="149"/>
      <c r="T410" s="149"/>
      <c r="U410" s="149"/>
      <c r="V410" s="149"/>
      <c r="W410" s="149"/>
      <c r="X410" s="149"/>
      <c r="Y410" s="149"/>
      <c r="Z410" s="149"/>
      <c r="AA410" s="149"/>
    </row>
    <row r="576" spans="2:27" s="99" customFormat="1" x14ac:dyDescent="0.25">
      <c r="B576" s="101"/>
      <c r="C576" s="101"/>
      <c r="E576" s="101"/>
      <c r="F576" s="182"/>
      <c r="G576" s="183"/>
      <c r="H576" s="183"/>
      <c r="I576" s="183"/>
      <c r="J576" s="184"/>
      <c r="K576" s="184"/>
      <c r="L576" s="183"/>
      <c r="M576" s="183"/>
      <c r="N576" s="183"/>
      <c r="O576" s="183"/>
      <c r="P576" s="25"/>
      <c r="Q576" s="25"/>
      <c r="R576"/>
      <c r="S576" s="97"/>
      <c r="T576" s="97"/>
      <c r="U576" s="97"/>
      <c r="V576" s="97"/>
      <c r="W576" s="97"/>
      <c r="X576" s="97"/>
      <c r="Y576" s="97"/>
      <c r="Z576" s="97"/>
      <c r="AA576" s="97"/>
    </row>
    <row r="577" spans="2:27" s="99" customFormat="1" x14ac:dyDescent="0.25">
      <c r="B577" s="101"/>
      <c r="C577" s="101"/>
      <c r="E577" s="101"/>
      <c r="F577" s="182"/>
      <c r="J577" s="103"/>
      <c r="K577" s="103"/>
      <c r="P577" s="25"/>
      <c r="Q577" s="25"/>
      <c r="R577"/>
      <c r="S577" s="97"/>
      <c r="T577" s="97"/>
      <c r="U577" s="97"/>
      <c r="V577" s="97"/>
      <c r="W577" s="97"/>
      <c r="X577" s="97"/>
      <c r="Y577" s="97"/>
      <c r="Z577" s="97"/>
      <c r="AA577" s="97"/>
    </row>
    <row r="578" spans="2:27" s="99" customFormat="1" x14ac:dyDescent="0.25">
      <c r="B578" s="101"/>
      <c r="C578" s="101"/>
      <c r="E578" s="101"/>
      <c r="F578" s="182"/>
      <c r="J578" s="103"/>
      <c r="K578" s="103"/>
      <c r="P578" s="25"/>
      <c r="Q578" s="25"/>
      <c r="R578"/>
      <c r="S578" s="97"/>
      <c r="T578" s="97"/>
      <c r="U578" s="97"/>
      <c r="V578" s="97"/>
      <c r="W578" s="97"/>
      <c r="X578" s="97"/>
      <c r="Y578" s="97"/>
      <c r="Z578" s="97"/>
      <c r="AA578" s="97"/>
    </row>
    <row r="579" spans="2:27" s="99" customFormat="1" x14ac:dyDescent="0.25">
      <c r="B579" s="101"/>
      <c r="C579" s="101"/>
      <c r="E579" s="101"/>
      <c r="F579" s="182"/>
      <c r="J579" s="103"/>
      <c r="K579" s="103"/>
      <c r="P579" s="25"/>
      <c r="Q579" s="25"/>
      <c r="R579"/>
      <c r="S579" s="97"/>
      <c r="T579" s="97"/>
      <c r="U579" s="97"/>
      <c r="V579" s="97"/>
      <c r="W579" s="97"/>
      <c r="X579" s="97"/>
      <c r="Y579" s="97"/>
      <c r="Z579" s="97"/>
      <c r="AA579" s="97"/>
    </row>
    <row r="581" spans="2:27" s="99" customFormat="1" x14ac:dyDescent="0.25">
      <c r="B581" s="101"/>
      <c r="C581" s="101"/>
      <c r="E581" s="101"/>
      <c r="F581" s="182"/>
      <c r="J581" s="103"/>
      <c r="K581" s="103"/>
      <c r="P581" s="25"/>
      <c r="Q581" s="25"/>
      <c r="R581"/>
      <c r="S581" s="97"/>
      <c r="T581" s="97"/>
      <c r="U581" s="97"/>
      <c r="V581" s="97"/>
      <c r="W581" s="97"/>
      <c r="X581" s="97"/>
      <c r="Y581" s="97"/>
      <c r="Z581" s="97"/>
      <c r="AA581" s="97"/>
    </row>
    <row r="582" spans="2:27" s="99" customFormat="1" x14ac:dyDescent="0.25">
      <c r="B582" s="101"/>
      <c r="C582" s="101"/>
      <c r="E582" s="101"/>
      <c r="F582" s="182"/>
      <c r="J582" s="103"/>
      <c r="K582" s="103"/>
      <c r="P582" s="25"/>
      <c r="Q582" s="25"/>
      <c r="R582"/>
      <c r="S582" s="97"/>
      <c r="T582" s="97"/>
      <c r="U582" s="97"/>
      <c r="V582" s="97"/>
      <c r="W582" s="97"/>
      <c r="X582" s="97"/>
      <c r="Y582" s="97"/>
      <c r="Z582" s="97"/>
      <c r="AA582" s="97"/>
    </row>
    <row r="583" spans="2:27" s="99" customFormat="1" x14ac:dyDescent="0.25">
      <c r="B583" s="101"/>
      <c r="C583" s="101"/>
      <c r="E583" s="101"/>
      <c r="F583" s="182"/>
      <c r="J583" s="103"/>
      <c r="K583" s="103"/>
      <c r="P583" s="25"/>
      <c r="Q583" s="25"/>
      <c r="R583"/>
      <c r="S583" s="97"/>
      <c r="T583" s="97"/>
      <c r="U583" s="97"/>
      <c r="V583" s="97"/>
      <c r="W583" s="97"/>
      <c r="X583" s="97"/>
      <c r="Y583" s="97"/>
      <c r="Z583" s="97"/>
      <c r="AA583" s="97"/>
    </row>
    <row r="584" spans="2:27" s="99" customFormat="1" x14ac:dyDescent="0.25">
      <c r="B584" s="101"/>
      <c r="C584" s="101"/>
      <c r="E584" s="101"/>
      <c r="F584" s="182"/>
      <c r="J584" s="103"/>
      <c r="K584" s="103"/>
      <c r="P584" s="25"/>
      <c r="Q584" s="25"/>
      <c r="R584"/>
      <c r="S584" s="97"/>
      <c r="T584" s="97"/>
      <c r="U584" s="97"/>
      <c r="V584" s="97"/>
      <c r="W584" s="97"/>
      <c r="X584" s="97"/>
      <c r="Y584" s="97"/>
      <c r="Z584" s="97"/>
      <c r="AA584" s="97"/>
    </row>
    <row r="585" spans="2:27" s="99" customFormat="1" x14ac:dyDescent="0.25">
      <c r="B585" s="101"/>
      <c r="C585" s="101"/>
      <c r="E585" s="101"/>
      <c r="F585" s="182"/>
      <c r="J585" s="103"/>
      <c r="K585" s="103"/>
      <c r="P585" s="25"/>
      <c r="Q585" s="25"/>
      <c r="R585"/>
      <c r="S585" s="97"/>
      <c r="T585" s="97"/>
      <c r="U585" s="97"/>
      <c r="V585" s="97"/>
      <c r="W585" s="97"/>
      <c r="X585" s="97"/>
      <c r="Y585" s="97"/>
      <c r="Z585" s="97"/>
      <c r="AA585" s="97"/>
    </row>
    <row r="586" spans="2:27" s="99" customFormat="1" x14ac:dyDescent="0.25">
      <c r="B586" s="101"/>
      <c r="C586" s="101"/>
      <c r="E586" s="101"/>
      <c r="F586" s="182"/>
      <c r="J586" s="103"/>
      <c r="K586" s="103"/>
      <c r="P586" s="25"/>
      <c r="Q586" s="25"/>
      <c r="R586"/>
      <c r="S586" s="97"/>
      <c r="T586" s="97"/>
      <c r="U586" s="97"/>
      <c r="V586" s="97"/>
      <c r="W586" s="97"/>
      <c r="X586" s="97"/>
      <c r="Y586" s="97"/>
      <c r="Z586" s="97"/>
      <c r="AA586" s="97"/>
    </row>
    <row r="587" spans="2:27" s="99" customFormat="1" x14ac:dyDescent="0.25">
      <c r="B587" s="101"/>
      <c r="C587" s="101"/>
      <c r="E587" s="101"/>
      <c r="F587" s="182"/>
      <c r="J587" s="103"/>
      <c r="K587" s="103"/>
      <c r="P587" s="25"/>
      <c r="Q587" s="25"/>
      <c r="R587"/>
      <c r="S587" s="97"/>
      <c r="T587" s="97"/>
      <c r="U587" s="97"/>
      <c r="V587" s="97"/>
      <c r="W587" s="97"/>
      <c r="X587" s="97"/>
      <c r="Y587" s="97"/>
      <c r="Z587" s="97"/>
      <c r="AA587" s="97"/>
    </row>
    <row r="588" spans="2:27" s="99" customFormat="1" x14ac:dyDescent="0.25">
      <c r="B588" s="101"/>
      <c r="C588" s="101"/>
      <c r="E588" s="101"/>
      <c r="F588" s="182"/>
      <c r="J588" s="103"/>
      <c r="K588" s="103"/>
      <c r="P588" s="25"/>
      <c r="Q588" s="25"/>
      <c r="R588"/>
      <c r="S588" s="97"/>
      <c r="T588" s="97"/>
      <c r="U588" s="97"/>
      <c r="V588" s="97"/>
      <c r="W588" s="97"/>
      <c r="X588" s="97"/>
      <c r="Y588" s="97"/>
      <c r="Z588" s="97"/>
      <c r="AA588" s="97"/>
    </row>
    <row r="589" spans="2:27" s="99" customFormat="1" x14ac:dyDescent="0.25">
      <c r="B589" s="101"/>
      <c r="C589" s="101"/>
      <c r="E589" s="101"/>
      <c r="F589" s="182"/>
      <c r="J589" s="103"/>
      <c r="K589" s="103"/>
      <c r="P589" s="25"/>
      <c r="Q589" s="25"/>
      <c r="R589"/>
      <c r="S589" s="97"/>
      <c r="T589" s="97"/>
      <c r="U589" s="97"/>
      <c r="V589" s="97"/>
      <c r="W589" s="97"/>
      <c r="X589" s="97"/>
      <c r="Y589" s="97"/>
      <c r="Z589" s="97"/>
      <c r="AA589" s="97"/>
    </row>
    <row r="590" spans="2:27" s="99" customFormat="1" x14ac:dyDescent="0.25">
      <c r="B590" s="101"/>
      <c r="C590" s="101"/>
      <c r="E590" s="101"/>
      <c r="F590" s="182"/>
      <c r="J590" s="103"/>
      <c r="K590" s="103"/>
      <c r="P590" s="25"/>
      <c r="Q590" s="25"/>
      <c r="R590"/>
      <c r="S590" s="97"/>
      <c r="T590" s="97"/>
      <c r="U590" s="97"/>
      <c r="V590" s="97"/>
      <c r="W590" s="97"/>
      <c r="X590" s="97"/>
      <c r="Y590" s="97"/>
      <c r="Z590" s="97"/>
      <c r="AA590" s="97"/>
    </row>
    <row r="591" spans="2:27" s="99" customFormat="1" x14ac:dyDescent="0.25">
      <c r="B591" s="101"/>
      <c r="C591" s="101"/>
      <c r="E591" s="101"/>
      <c r="F591" s="182"/>
      <c r="J591" s="103"/>
      <c r="K591" s="103"/>
      <c r="P591" s="25"/>
      <c r="Q591" s="25"/>
      <c r="R591"/>
      <c r="S591" s="97"/>
      <c r="T591" s="97"/>
      <c r="U591" s="97"/>
      <c r="V591" s="97"/>
      <c r="W591" s="97"/>
      <c r="X591" s="97"/>
      <c r="Y591" s="97"/>
      <c r="Z591" s="97"/>
      <c r="AA591" s="97"/>
    </row>
    <row r="592" spans="2:27" s="99" customFormat="1" x14ac:dyDescent="0.25">
      <c r="B592" s="101"/>
      <c r="C592" s="101"/>
      <c r="E592" s="101"/>
      <c r="F592" s="182"/>
      <c r="J592" s="103"/>
      <c r="K592" s="103"/>
      <c r="P592" s="25"/>
      <c r="Q592" s="25"/>
      <c r="R592"/>
      <c r="S592" s="97"/>
      <c r="T592" s="97"/>
      <c r="U592" s="97"/>
      <c r="V592" s="97"/>
      <c r="W592" s="97"/>
      <c r="X592" s="97"/>
      <c r="Y592" s="97"/>
      <c r="Z592" s="97"/>
      <c r="AA592" s="97"/>
    </row>
    <row r="593" spans="2:27" s="99" customFormat="1" x14ac:dyDescent="0.25">
      <c r="B593" s="101"/>
      <c r="C593" s="101"/>
      <c r="E593" s="101"/>
      <c r="F593" s="182"/>
      <c r="J593" s="103"/>
      <c r="K593" s="103"/>
      <c r="P593" s="25"/>
      <c r="Q593" s="25"/>
      <c r="R593"/>
      <c r="S593" s="97"/>
      <c r="T593" s="97"/>
      <c r="U593" s="97"/>
      <c r="V593" s="97"/>
      <c r="W593" s="97"/>
      <c r="X593" s="97"/>
      <c r="Y593" s="97"/>
      <c r="Z593" s="97"/>
      <c r="AA593" s="97"/>
    </row>
    <row r="594" spans="2:27" s="99" customFormat="1" x14ac:dyDescent="0.25">
      <c r="B594" s="101"/>
      <c r="C594" s="101"/>
      <c r="E594" s="101"/>
      <c r="F594" s="182"/>
      <c r="J594" s="103"/>
      <c r="K594" s="103"/>
      <c r="P594" s="25"/>
      <c r="Q594" s="25"/>
      <c r="R594"/>
      <c r="S594" s="97"/>
      <c r="T594" s="97"/>
      <c r="U594" s="97"/>
      <c r="V594" s="97"/>
      <c r="W594" s="97"/>
      <c r="X594" s="97"/>
      <c r="Y594" s="97"/>
      <c r="Z594" s="97"/>
      <c r="AA594" s="97"/>
    </row>
    <row r="595" spans="2:27" s="99" customFormat="1" x14ac:dyDescent="0.25">
      <c r="B595" s="101"/>
      <c r="C595" s="101"/>
      <c r="E595" s="101"/>
      <c r="F595" s="182"/>
      <c r="J595" s="103"/>
      <c r="K595" s="103"/>
      <c r="P595" s="25"/>
      <c r="Q595" s="25"/>
      <c r="R595"/>
      <c r="S595" s="97"/>
      <c r="T595" s="97"/>
      <c r="U595" s="97"/>
      <c r="V595" s="97"/>
      <c r="W595" s="97"/>
      <c r="X595" s="97"/>
      <c r="Y595" s="97"/>
      <c r="Z595" s="97"/>
      <c r="AA595" s="97"/>
    </row>
  </sheetData>
  <mergeCells count="411">
    <mergeCell ref="O8:O9"/>
    <mergeCell ref="A10:A14"/>
    <mergeCell ref="B10:B14"/>
    <mergeCell ref="C10:C14"/>
    <mergeCell ref="D10:D14"/>
    <mergeCell ref="E10:E14"/>
    <mergeCell ref="B1:O1"/>
    <mergeCell ref="A7:A9"/>
    <mergeCell ref="B7:B9"/>
    <mergeCell ref="C7:C9"/>
    <mergeCell ref="D7:D9"/>
    <mergeCell ref="E7:E9"/>
    <mergeCell ref="F7:F9"/>
    <mergeCell ref="G7:O7"/>
    <mergeCell ref="G8:G9"/>
    <mergeCell ref="I8:N8"/>
    <mergeCell ref="A16:A20"/>
    <mergeCell ref="B16:B20"/>
    <mergeCell ref="C16:C20"/>
    <mergeCell ref="D16:D20"/>
    <mergeCell ref="E16:E20"/>
    <mergeCell ref="A21:A25"/>
    <mergeCell ref="B21:B25"/>
    <mergeCell ref="C21:C25"/>
    <mergeCell ref="D21:D25"/>
    <mergeCell ref="E21:E25"/>
    <mergeCell ref="A26:A30"/>
    <mergeCell ref="B26:B30"/>
    <mergeCell ref="C26:C30"/>
    <mergeCell ref="D26:D30"/>
    <mergeCell ref="E26:E30"/>
    <mergeCell ref="A31:A35"/>
    <mergeCell ref="B31:B35"/>
    <mergeCell ref="C31:C35"/>
    <mergeCell ref="D31:D35"/>
    <mergeCell ref="E31:E35"/>
    <mergeCell ref="A36:A40"/>
    <mergeCell ref="B36:B40"/>
    <mergeCell ref="C36:C40"/>
    <mergeCell ref="D36:D40"/>
    <mergeCell ref="E36:E40"/>
    <mergeCell ref="A41:A45"/>
    <mergeCell ref="B41:B45"/>
    <mergeCell ref="C41:C45"/>
    <mergeCell ref="D41:D45"/>
    <mergeCell ref="E41:E45"/>
    <mergeCell ref="A46:A50"/>
    <mergeCell ref="B46:B50"/>
    <mergeCell ref="C46:C50"/>
    <mergeCell ref="D46:D50"/>
    <mergeCell ref="E46:E50"/>
    <mergeCell ref="A51:A55"/>
    <mergeCell ref="B51:B55"/>
    <mergeCell ref="C51:C55"/>
    <mergeCell ref="D51:D55"/>
    <mergeCell ref="E51:E55"/>
    <mergeCell ref="A56:A60"/>
    <mergeCell ref="B56:B60"/>
    <mergeCell ref="C56:C60"/>
    <mergeCell ref="D56:D60"/>
    <mergeCell ref="E56:E60"/>
    <mergeCell ref="A61:A65"/>
    <mergeCell ref="B61:B65"/>
    <mergeCell ref="C61:C65"/>
    <mergeCell ref="D61:D65"/>
    <mergeCell ref="E61:E65"/>
    <mergeCell ref="A66:A70"/>
    <mergeCell ref="B66:B70"/>
    <mergeCell ref="C66:C70"/>
    <mergeCell ref="D66:D70"/>
    <mergeCell ref="E66:E70"/>
    <mergeCell ref="A71:A75"/>
    <mergeCell ref="B71:B75"/>
    <mergeCell ref="C71:C75"/>
    <mergeCell ref="D71:D75"/>
    <mergeCell ref="E71:E75"/>
    <mergeCell ref="A76:A80"/>
    <mergeCell ref="B76:B80"/>
    <mergeCell ref="C76:C80"/>
    <mergeCell ref="D76:D80"/>
    <mergeCell ref="E76:E80"/>
    <mergeCell ref="A81:A85"/>
    <mergeCell ref="B81:B85"/>
    <mergeCell ref="C81:C85"/>
    <mergeCell ref="D81:D85"/>
    <mergeCell ref="E81:E85"/>
    <mergeCell ref="A86:A90"/>
    <mergeCell ref="B86:B90"/>
    <mergeCell ref="C86:C90"/>
    <mergeCell ref="D86:D90"/>
    <mergeCell ref="E86:E90"/>
    <mergeCell ref="A91:A95"/>
    <mergeCell ref="B91:B95"/>
    <mergeCell ref="C91:C95"/>
    <mergeCell ref="D91:D95"/>
    <mergeCell ref="E91:E95"/>
    <mergeCell ref="A96:A100"/>
    <mergeCell ref="B96:B100"/>
    <mergeCell ref="C96:C100"/>
    <mergeCell ref="D96:D100"/>
    <mergeCell ref="E96:E100"/>
    <mergeCell ref="A101:A105"/>
    <mergeCell ref="B101:B105"/>
    <mergeCell ref="C101:C105"/>
    <mergeCell ref="D101:D105"/>
    <mergeCell ref="E101:E105"/>
    <mergeCell ref="A106:A110"/>
    <mergeCell ref="B106:B110"/>
    <mergeCell ref="C106:C110"/>
    <mergeCell ref="D106:D110"/>
    <mergeCell ref="E106:E110"/>
    <mergeCell ref="A111:A115"/>
    <mergeCell ref="B111:B115"/>
    <mergeCell ref="C111:C115"/>
    <mergeCell ref="D111:D115"/>
    <mergeCell ref="E111:E115"/>
    <mergeCell ref="A116:A120"/>
    <mergeCell ref="B116:B120"/>
    <mergeCell ref="C116:C120"/>
    <mergeCell ref="D116:D120"/>
    <mergeCell ref="E116:E120"/>
    <mergeCell ref="A121:A125"/>
    <mergeCell ref="B121:B125"/>
    <mergeCell ref="C121:C125"/>
    <mergeCell ref="D121:D125"/>
    <mergeCell ref="E121:E125"/>
    <mergeCell ref="A126:A130"/>
    <mergeCell ref="B126:B130"/>
    <mergeCell ref="C126:C130"/>
    <mergeCell ref="D126:D130"/>
    <mergeCell ref="E126:E130"/>
    <mergeCell ref="A131:A135"/>
    <mergeCell ref="B131:B135"/>
    <mergeCell ref="C131:C135"/>
    <mergeCell ref="D131:D135"/>
    <mergeCell ref="E131:E135"/>
    <mergeCell ref="A136:A140"/>
    <mergeCell ref="B136:B140"/>
    <mergeCell ref="C136:C140"/>
    <mergeCell ref="D136:D140"/>
    <mergeCell ref="E136:E140"/>
    <mergeCell ref="A141:A145"/>
    <mergeCell ref="B141:B145"/>
    <mergeCell ref="C141:C145"/>
    <mergeCell ref="D141:D145"/>
    <mergeCell ref="E141:E145"/>
    <mergeCell ref="A146:A150"/>
    <mergeCell ref="B146:B150"/>
    <mergeCell ref="C146:C150"/>
    <mergeCell ref="D146:D150"/>
    <mergeCell ref="E146:E150"/>
    <mergeCell ref="A151:A155"/>
    <mergeCell ref="B151:B155"/>
    <mergeCell ref="C151:C155"/>
    <mergeCell ref="D151:D155"/>
    <mergeCell ref="E151:E155"/>
    <mergeCell ref="A156:A160"/>
    <mergeCell ref="B156:B160"/>
    <mergeCell ref="C156:C160"/>
    <mergeCell ref="D156:D160"/>
    <mergeCell ref="E156:E160"/>
    <mergeCell ref="A161:A165"/>
    <mergeCell ref="B161:B165"/>
    <mergeCell ref="C161:C165"/>
    <mergeCell ref="D161:D165"/>
    <mergeCell ref="E161:E165"/>
    <mergeCell ref="A166:A170"/>
    <mergeCell ref="B166:B170"/>
    <mergeCell ref="C166:C170"/>
    <mergeCell ref="D166:D170"/>
    <mergeCell ref="E166:E170"/>
    <mergeCell ref="A171:A175"/>
    <mergeCell ref="B171:B175"/>
    <mergeCell ref="C171:C175"/>
    <mergeCell ref="D171:D175"/>
    <mergeCell ref="E171:E175"/>
    <mergeCell ref="A176:A180"/>
    <mergeCell ref="B176:B180"/>
    <mergeCell ref="C176:C180"/>
    <mergeCell ref="D176:D180"/>
    <mergeCell ref="E176:E180"/>
    <mergeCell ref="A181:A185"/>
    <mergeCell ref="B181:B185"/>
    <mergeCell ref="C181:C185"/>
    <mergeCell ref="D181:D185"/>
    <mergeCell ref="E181:E185"/>
    <mergeCell ref="A186:A190"/>
    <mergeCell ref="B186:B190"/>
    <mergeCell ref="C186:C190"/>
    <mergeCell ref="D186:D190"/>
    <mergeCell ref="E186:E190"/>
    <mergeCell ref="A191:A195"/>
    <mergeCell ref="B191:B195"/>
    <mergeCell ref="C191:C195"/>
    <mergeCell ref="D191:D195"/>
    <mergeCell ref="E191:E195"/>
    <mergeCell ref="A196:A200"/>
    <mergeCell ref="B196:B200"/>
    <mergeCell ref="C196:C200"/>
    <mergeCell ref="D196:D200"/>
    <mergeCell ref="E196:E200"/>
    <mergeCell ref="A201:A205"/>
    <mergeCell ref="B201:B205"/>
    <mergeCell ref="C201:C205"/>
    <mergeCell ref="D201:D205"/>
    <mergeCell ref="E201:E205"/>
    <mergeCell ref="A206:A210"/>
    <mergeCell ref="B206:B210"/>
    <mergeCell ref="C206:C210"/>
    <mergeCell ref="D206:D210"/>
    <mergeCell ref="E206:E210"/>
    <mergeCell ref="A211:A215"/>
    <mergeCell ref="B211:B215"/>
    <mergeCell ref="C211:C215"/>
    <mergeCell ref="D211:D215"/>
    <mergeCell ref="E211:E215"/>
    <mergeCell ref="A216:A220"/>
    <mergeCell ref="B216:B220"/>
    <mergeCell ref="C216:C220"/>
    <mergeCell ref="D216:D220"/>
    <mergeCell ref="E216:E220"/>
    <mergeCell ref="A221:A225"/>
    <mergeCell ref="B221:B225"/>
    <mergeCell ref="C221:C225"/>
    <mergeCell ref="D221:D225"/>
    <mergeCell ref="E221:E225"/>
    <mergeCell ref="A226:A230"/>
    <mergeCell ref="B226:B230"/>
    <mergeCell ref="C226:C230"/>
    <mergeCell ref="D226:D230"/>
    <mergeCell ref="E226:E230"/>
    <mergeCell ref="A231:A235"/>
    <mergeCell ref="B231:B235"/>
    <mergeCell ref="C231:C235"/>
    <mergeCell ref="D231:D235"/>
    <mergeCell ref="E231:E235"/>
    <mergeCell ref="A236:A240"/>
    <mergeCell ref="B236:B240"/>
    <mergeCell ref="C236:C240"/>
    <mergeCell ref="D236:D240"/>
    <mergeCell ref="E236:E240"/>
    <mergeCell ref="A241:A245"/>
    <mergeCell ref="B241:B245"/>
    <mergeCell ref="C241:C245"/>
    <mergeCell ref="D241:D245"/>
    <mergeCell ref="E241:E245"/>
    <mergeCell ref="A246:A250"/>
    <mergeCell ref="B246:B250"/>
    <mergeCell ref="C246:C250"/>
    <mergeCell ref="D246:D250"/>
    <mergeCell ref="E246:E250"/>
    <mergeCell ref="A251:A255"/>
    <mergeCell ref="B251:B255"/>
    <mergeCell ref="C251:C255"/>
    <mergeCell ref="D251:D255"/>
    <mergeCell ref="E251:E255"/>
    <mergeCell ref="A256:A260"/>
    <mergeCell ref="B256:B260"/>
    <mergeCell ref="C256:C260"/>
    <mergeCell ref="D256:D260"/>
    <mergeCell ref="E256:E260"/>
    <mergeCell ref="A261:A265"/>
    <mergeCell ref="B261:B265"/>
    <mergeCell ref="C261:C265"/>
    <mergeCell ref="D261:D265"/>
    <mergeCell ref="E261:E265"/>
    <mergeCell ref="A266:A270"/>
    <mergeCell ref="B266:B270"/>
    <mergeCell ref="C266:C270"/>
    <mergeCell ref="D266:D270"/>
    <mergeCell ref="E266:E270"/>
    <mergeCell ref="A271:A275"/>
    <mergeCell ref="B271:B275"/>
    <mergeCell ref="C271:C275"/>
    <mergeCell ref="D271:D275"/>
    <mergeCell ref="E271:E275"/>
    <mergeCell ref="A276:A280"/>
    <mergeCell ref="B276:B280"/>
    <mergeCell ref="C276:C280"/>
    <mergeCell ref="D276:D280"/>
    <mergeCell ref="E276:E280"/>
    <mergeCell ref="A281:A285"/>
    <mergeCell ref="B281:B285"/>
    <mergeCell ref="C281:C285"/>
    <mergeCell ref="D281:D285"/>
    <mergeCell ref="E281:E285"/>
    <mergeCell ref="A286:A290"/>
    <mergeCell ref="B286:B290"/>
    <mergeCell ref="C286:C290"/>
    <mergeCell ref="D286:D290"/>
    <mergeCell ref="E286:E290"/>
    <mergeCell ref="A291:A295"/>
    <mergeCell ref="B291:B295"/>
    <mergeCell ref="C291:C295"/>
    <mergeCell ref="D291:D295"/>
    <mergeCell ref="E291:E295"/>
    <mergeCell ref="A296:A300"/>
    <mergeCell ref="B296:B300"/>
    <mergeCell ref="C296:C300"/>
    <mergeCell ref="D296:D300"/>
    <mergeCell ref="E296:E300"/>
    <mergeCell ref="A301:A305"/>
    <mergeCell ref="B301:B305"/>
    <mergeCell ref="C301:C305"/>
    <mergeCell ref="D301:D305"/>
    <mergeCell ref="E301:E305"/>
    <mergeCell ref="A306:A310"/>
    <mergeCell ref="B306:B310"/>
    <mergeCell ref="C306:C310"/>
    <mergeCell ref="D306:D310"/>
    <mergeCell ref="E306:E310"/>
    <mergeCell ref="A311:A315"/>
    <mergeCell ref="B311:B315"/>
    <mergeCell ref="C311:C315"/>
    <mergeCell ref="D311:D315"/>
    <mergeCell ref="E311:E315"/>
    <mergeCell ref="A316:A320"/>
    <mergeCell ref="B316:B320"/>
    <mergeCell ref="C316:C320"/>
    <mergeCell ref="D316:D320"/>
    <mergeCell ref="E316:E320"/>
    <mergeCell ref="A321:A325"/>
    <mergeCell ref="B321:B325"/>
    <mergeCell ref="C321:C325"/>
    <mergeCell ref="D321:D325"/>
    <mergeCell ref="E321:E325"/>
    <mergeCell ref="A326:A330"/>
    <mergeCell ref="B326:B330"/>
    <mergeCell ref="C326:C330"/>
    <mergeCell ref="D326:D330"/>
    <mergeCell ref="E326:E330"/>
    <mergeCell ref="A331:A335"/>
    <mergeCell ref="B331:B335"/>
    <mergeCell ref="C331:C335"/>
    <mergeCell ref="D331:D335"/>
    <mergeCell ref="E331:E335"/>
    <mergeCell ref="A336:A340"/>
    <mergeCell ref="B336:B340"/>
    <mergeCell ref="C336:C340"/>
    <mergeCell ref="D336:D340"/>
    <mergeCell ref="E336:E340"/>
    <mergeCell ref="A341:A345"/>
    <mergeCell ref="B341:B345"/>
    <mergeCell ref="C341:C345"/>
    <mergeCell ref="D341:D345"/>
    <mergeCell ref="E341:E345"/>
    <mergeCell ref="A346:A350"/>
    <mergeCell ref="B346:B350"/>
    <mergeCell ref="C346:C350"/>
    <mergeCell ref="D346:D350"/>
    <mergeCell ref="E346:E350"/>
    <mergeCell ref="A351:A355"/>
    <mergeCell ref="B351:B355"/>
    <mergeCell ref="C351:C355"/>
    <mergeCell ref="D351:D355"/>
    <mergeCell ref="E351:E355"/>
    <mergeCell ref="A356:A360"/>
    <mergeCell ref="B356:B360"/>
    <mergeCell ref="C356:C360"/>
    <mergeCell ref="D356:D360"/>
    <mergeCell ref="E356:E360"/>
    <mergeCell ref="A361:A365"/>
    <mergeCell ref="B361:B365"/>
    <mergeCell ref="C361:C365"/>
    <mergeCell ref="D361:D365"/>
    <mergeCell ref="E361:E365"/>
    <mergeCell ref="A366:A370"/>
    <mergeCell ref="B366:B370"/>
    <mergeCell ref="C366:C370"/>
    <mergeCell ref="D366:D370"/>
    <mergeCell ref="E366:E370"/>
    <mergeCell ref="A371:A375"/>
    <mergeCell ref="B371:B375"/>
    <mergeCell ref="C371:C375"/>
    <mergeCell ref="D371:D375"/>
    <mergeCell ref="E371:E375"/>
    <mergeCell ref="A376:A380"/>
    <mergeCell ref="B376:B380"/>
    <mergeCell ref="C376:C380"/>
    <mergeCell ref="D376:D380"/>
    <mergeCell ref="E376:E380"/>
    <mergeCell ref="A381:A385"/>
    <mergeCell ref="B381:B385"/>
    <mergeCell ref="C381:C385"/>
    <mergeCell ref="D381:D385"/>
    <mergeCell ref="E381:E385"/>
    <mergeCell ref="A386:A390"/>
    <mergeCell ref="B386:B390"/>
    <mergeCell ref="C386:C390"/>
    <mergeCell ref="D386:D390"/>
    <mergeCell ref="E386:E390"/>
    <mergeCell ref="A391:A395"/>
    <mergeCell ref="B391:B395"/>
    <mergeCell ref="C391:C395"/>
    <mergeCell ref="D391:D395"/>
    <mergeCell ref="E391:E395"/>
    <mergeCell ref="A406:A410"/>
    <mergeCell ref="B406:B410"/>
    <mergeCell ref="C406:C410"/>
    <mergeCell ref="D406:D410"/>
    <mergeCell ref="E406:E410"/>
    <mergeCell ref="A396:A400"/>
    <mergeCell ref="B396:B400"/>
    <mergeCell ref="C396:C400"/>
    <mergeCell ref="D396:D400"/>
    <mergeCell ref="E396:E400"/>
    <mergeCell ref="A401:A405"/>
    <mergeCell ref="B401:B405"/>
    <mergeCell ref="C401:C405"/>
    <mergeCell ref="D401:D405"/>
    <mergeCell ref="E401:E405"/>
  </mergeCells>
  <pageMargins left="0.7" right="0.7" top="0.75" bottom="0.75" header="0.3" footer="0.3"/>
  <pageSetup paperSize="9" scale="2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M450"/>
  <sheetViews>
    <sheetView showZeros="0" view="pageBreakPreview" zoomScale="69" zoomScaleNormal="50" zoomScaleSheetLayoutView="69" workbookViewId="0">
      <pane xSplit="5" ySplit="14" topLeftCell="F234" activePane="bottomRight" state="frozen"/>
      <selection pane="topRight" activeCell="F1" sqref="F1"/>
      <selection pane="bottomLeft" activeCell="A15" sqref="A15"/>
      <selection pane="bottomRight" activeCell="B141" sqref="B141:B145"/>
    </sheetView>
  </sheetViews>
  <sheetFormatPr defaultRowHeight="15" outlineLevelRow="1" x14ac:dyDescent="0.25"/>
  <cols>
    <col min="1" max="1" width="7.28515625" style="186" customWidth="1"/>
    <col min="2" max="2" width="53.5703125" style="62" customWidth="1"/>
    <col min="3" max="3" width="46.42578125" style="62" customWidth="1"/>
    <col min="4" max="4" width="35.5703125" style="12" customWidth="1"/>
    <col min="5" max="5" width="13.7109375" style="62" customWidth="1"/>
    <col min="6" max="6" width="20.28515625" style="20" customWidth="1"/>
    <col min="7" max="7" width="16" style="12" customWidth="1"/>
    <col min="8" max="8" width="15.7109375" style="12" customWidth="1"/>
    <col min="9" max="9" width="17" style="12" customWidth="1"/>
    <col min="10" max="10" width="13.7109375" style="25" hidden="1" customWidth="1"/>
    <col min="11" max="11" width="0" style="25" hidden="1" customWidth="1"/>
    <col min="12" max="12" width="0" hidden="1" customWidth="1"/>
  </cols>
  <sheetData>
    <row r="1" spans="1:13" ht="18.75" x14ac:dyDescent="0.25">
      <c r="A1" s="1"/>
      <c r="B1" s="423" t="s">
        <v>200</v>
      </c>
      <c r="C1" s="423"/>
      <c r="D1" s="423"/>
      <c r="E1" s="423"/>
      <c r="F1" s="423"/>
      <c r="G1" s="423"/>
      <c r="H1" s="423"/>
      <c r="I1" s="423"/>
    </row>
    <row r="2" spans="1:13" ht="18.75" x14ac:dyDescent="0.25">
      <c r="A2" s="1"/>
      <c r="B2" s="49"/>
      <c r="C2" s="49"/>
      <c r="D2" s="49"/>
      <c r="E2" s="49"/>
      <c r="F2" s="39"/>
      <c r="G2" s="39"/>
      <c r="H2" s="39"/>
      <c r="I2" s="39"/>
    </row>
    <row r="3" spans="1:13" ht="18.75" x14ac:dyDescent="0.25">
      <c r="B3" s="61" t="s">
        <v>184</v>
      </c>
      <c r="C3" s="49"/>
      <c r="D3" s="49"/>
      <c r="I3" s="30"/>
    </row>
    <row r="4" spans="1:13" ht="18.75" x14ac:dyDescent="0.25">
      <c r="B4" s="28"/>
      <c r="C4" s="63" t="s">
        <v>180</v>
      </c>
      <c r="D4" s="49"/>
      <c r="I4" s="30"/>
    </row>
    <row r="5" spans="1:13" ht="18.75" x14ac:dyDescent="0.25">
      <c r="B5" s="40"/>
      <c r="C5" s="63" t="s">
        <v>163</v>
      </c>
      <c r="D5" s="49"/>
      <c r="I5" s="45"/>
    </row>
    <row r="6" spans="1:13" s="9" customFormat="1" ht="18.75" x14ac:dyDescent="0.25">
      <c r="A6" s="187"/>
      <c r="B6" s="36"/>
      <c r="C6" s="29"/>
      <c r="D6" s="29"/>
      <c r="E6" s="29"/>
      <c r="F6" s="29"/>
      <c r="G6" s="28"/>
      <c r="H6" s="28"/>
      <c r="I6" s="28"/>
      <c r="J6" s="41"/>
      <c r="K6" s="41"/>
    </row>
    <row r="7" spans="1:13" x14ac:dyDescent="0.25">
      <c r="A7" s="351" t="s">
        <v>0</v>
      </c>
      <c r="B7" s="351" t="s">
        <v>1</v>
      </c>
      <c r="C7" s="351" t="s">
        <v>2</v>
      </c>
      <c r="D7" s="351" t="s">
        <v>3</v>
      </c>
      <c r="E7" s="351" t="s">
        <v>4</v>
      </c>
      <c r="F7" s="351" t="s">
        <v>5</v>
      </c>
      <c r="G7" s="351"/>
      <c r="H7" s="351"/>
      <c r="I7" s="351"/>
    </row>
    <row r="8" spans="1:13" x14ac:dyDescent="0.25">
      <c r="A8" s="351"/>
      <c r="B8" s="351"/>
      <c r="C8" s="351"/>
      <c r="D8" s="351"/>
      <c r="E8" s="351"/>
      <c r="F8" s="351"/>
      <c r="G8" s="415"/>
      <c r="H8" s="415"/>
      <c r="I8" s="351" t="s">
        <v>6</v>
      </c>
    </row>
    <row r="9" spans="1:13" ht="21.75" customHeight="1" x14ac:dyDescent="0.25">
      <c r="A9" s="351"/>
      <c r="B9" s="351"/>
      <c r="C9" s="351"/>
      <c r="D9" s="351"/>
      <c r="E9" s="351"/>
      <c r="F9" s="351"/>
      <c r="G9" s="27">
        <v>2024</v>
      </c>
      <c r="H9" s="27">
        <v>2025</v>
      </c>
      <c r="I9" s="351"/>
    </row>
    <row r="10" spans="1:13" s="83" customFormat="1" x14ac:dyDescent="0.25">
      <c r="A10" s="413"/>
      <c r="B10" s="413" t="s">
        <v>164</v>
      </c>
      <c r="C10" s="412"/>
      <c r="D10" s="412"/>
      <c r="E10" s="412"/>
      <c r="F10" s="80" t="s">
        <v>7</v>
      </c>
      <c r="G10" s="81">
        <f t="shared" ref="G10:I10" si="0">SUM(G11:G14)</f>
        <v>1533765.7362616297</v>
      </c>
      <c r="H10" s="81">
        <f t="shared" si="0"/>
        <v>2056184.9705744202</v>
      </c>
      <c r="I10" s="81">
        <f t="shared" si="0"/>
        <v>1408139.69</v>
      </c>
      <c r="J10" s="82"/>
      <c r="K10" s="82"/>
      <c r="M10" s="116">
        <f>G10-'только 2024'!E7</f>
        <v>747363.78072072065</v>
      </c>
    </row>
    <row r="11" spans="1:13" s="83" customFormat="1" x14ac:dyDescent="0.25">
      <c r="A11" s="413"/>
      <c r="B11" s="413"/>
      <c r="C11" s="412"/>
      <c r="D11" s="412"/>
      <c r="E11" s="412"/>
      <c r="F11" s="84" t="s">
        <v>8</v>
      </c>
      <c r="G11" s="81">
        <f t="shared" ref="G11:H11" si="1">G17+G22</f>
        <v>0</v>
      </c>
      <c r="H11" s="81">
        <f t="shared" si="1"/>
        <v>712500</v>
      </c>
      <c r="I11" s="81">
        <f t="shared" ref="I11" si="2">I17+I22</f>
        <v>0</v>
      </c>
      <c r="J11" s="82"/>
      <c r="K11" s="82"/>
      <c r="M11" s="116">
        <f>G11-'только 2024'!E8</f>
        <v>0</v>
      </c>
    </row>
    <row r="12" spans="1:13" s="83" customFormat="1" x14ac:dyDescent="0.25">
      <c r="A12" s="413"/>
      <c r="B12" s="413"/>
      <c r="C12" s="412"/>
      <c r="D12" s="412"/>
      <c r="E12" s="412"/>
      <c r="F12" s="84" t="s">
        <v>9</v>
      </c>
      <c r="G12" s="81">
        <f t="shared" ref="G12:H14" si="3">G18+G23</f>
        <v>1291530.1558399999</v>
      </c>
      <c r="H12" s="81">
        <f t="shared" si="3"/>
        <v>1118422.5283687499</v>
      </c>
      <c r="I12" s="81">
        <f t="shared" ref="I12" si="4">I18+I23</f>
        <v>1402044.29</v>
      </c>
      <c r="J12" s="82"/>
      <c r="K12" s="82"/>
      <c r="M12" s="116">
        <f>G12-'только 2024'!E9</f>
        <v>744531.74583999987</v>
      </c>
    </row>
    <row r="13" spans="1:13" s="83" customFormat="1" x14ac:dyDescent="0.25">
      <c r="A13" s="413"/>
      <c r="B13" s="413"/>
      <c r="C13" s="412"/>
      <c r="D13" s="412"/>
      <c r="E13" s="412"/>
      <c r="F13" s="84" t="s">
        <v>10</v>
      </c>
      <c r="G13" s="81">
        <f t="shared" si="3"/>
        <v>25630.29397162981</v>
      </c>
      <c r="H13" s="81">
        <f t="shared" si="3"/>
        <v>54954.394375670221</v>
      </c>
      <c r="I13" s="81">
        <f t="shared" ref="I13" si="5">I19+I24</f>
        <v>6095.4</v>
      </c>
      <c r="J13" s="82"/>
      <c r="K13" s="82"/>
      <c r="M13" s="116">
        <f>G13-'только 2024'!E10</f>
        <v>2832.0348807207192</v>
      </c>
    </row>
    <row r="14" spans="1:13" s="83" customFormat="1" x14ac:dyDescent="0.25">
      <c r="A14" s="413"/>
      <c r="B14" s="413"/>
      <c r="C14" s="412"/>
      <c r="D14" s="412"/>
      <c r="E14" s="412"/>
      <c r="F14" s="84" t="s">
        <v>11</v>
      </c>
      <c r="G14" s="81">
        <f t="shared" si="3"/>
        <v>216605.28644999999</v>
      </c>
      <c r="H14" s="81">
        <f t="shared" si="3"/>
        <v>170308.04783</v>
      </c>
      <c r="I14" s="81">
        <f t="shared" ref="I14" si="6">I20+I25</f>
        <v>0</v>
      </c>
      <c r="J14" s="82"/>
      <c r="K14" s="82"/>
      <c r="M14" s="116">
        <f>G14-'только 2024'!E11</f>
        <v>0</v>
      </c>
    </row>
    <row r="15" spans="1:13" x14ac:dyDescent="0.25">
      <c r="A15" s="95"/>
      <c r="B15" s="64" t="s">
        <v>146</v>
      </c>
      <c r="C15" s="48"/>
      <c r="D15" s="48"/>
      <c r="E15" s="48"/>
      <c r="F15" s="3"/>
      <c r="G15" s="2"/>
      <c r="H15" s="2"/>
      <c r="I15" s="2"/>
    </row>
    <row r="16" spans="1:13" s="88" customFormat="1" x14ac:dyDescent="0.25">
      <c r="A16" s="422"/>
      <c r="B16" s="405" t="s">
        <v>147</v>
      </c>
      <c r="C16" s="404"/>
      <c r="D16" s="404"/>
      <c r="E16" s="404"/>
      <c r="F16" s="85" t="s">
        <v>7</v>
      </c>
      <c r="G16" s="86">
        <f t="shared" ref="G16:I16" si="7">SUM(G17:G20)</f>
        <v>1212275.7462616297</v>
      </c>
      <c r="H16" s="86">
        <f t="shared" si="7"/>
        <v>1756516.8280456702</v>
      </c>
      <c r="I16" s="86">
        <f t="shared" si="7"/>
        <v>181725.96</v>
      </c>
      <c r="J16" s="87" t="e">
        <f>#REF!/#REF!*100</f>
        <v>#REF!</v>
      </c>
      <c r="K16" s="87"/>
    </row>
    <row r="17" spans="1:11" s="88" customFormat="1" x14ac:dyDescent="0.25">
      <c r="A17" s="422"/>
      <c r="B17" s="406"/>
      <c r="C17" s="404"/>
      <c r="D17" s="404"/>
      <c r="E17" s="404"/>
      <c r="F17" s="89" t="s">
        <v>8</v>
      </c>
      <c r="G17" s="86">
        <f>G32+G37+G42+G47+G52+G57+G62+G67+G77+G82+G87+G92+G112+G117+G127+G157+G162+G167+G172+G232+G237+G242</f>
        <v>0</v>
      </c>
      <c r="H17" s="86">
        <f t="shared" ref="H17:I17" si="8">H32+H37+H42+H47+H52+H57+H62+H67+H77+H82+H87+H92+H112+H117+H127+H157+H162+H167+H172+H232+H237+H242</f>
        <v>712500</v>
      </c>
      <c r="I17" s="86">
        <f t="shared" si="8"/>
        <v>0</v>
      </c>
      <c r="J17" s="87"/>
      <c r="K17" s="87"/>
    </row>
    <row r="18" spans="1:11" s="88" customFormat="1" x14ac:dyDescent="0.25">
      <c r="A18" s="422"/>
      <c r="B18" s="406"/>
      <c r="C18" s="404"/>
      <c r="D18" s="404"/>
      <c r="E18" s="404"/>
      <c r="F18" s="89" t="s">
        <v>9</v>
      </c>
      <c r="G18" s="86">
        <f t="shared" ref="G18:I20" si="9">G33+G38+G43+G48+G53+G58+G63+G68+G78+G83+G88+G93+G113+G118+G128+G158+G163+G168+G173+G233+G238+G243</f>
        <v>1031363.46</v>
      </c>
      <c r="H18" s="86">
        <f t="shared" si="9"/>
        <v>888883.66999999993</v>
      </c>
      <c r="I18" s="86">
        <f t="shared" si="9"/>
        <v>180630.56</v>
      </c>
      <c r="J18" s="87"/>
      <c r="K18" s="87"/>
    </row>
    <row r="19" spans="1:11" s="88" customFormat="1" x14ac:dyDescent="0.25">
      <c r="A19" s="422"/>
      <c r="B19" s="406"/>
      <c r="C19" s="404"/>
      <c r="D19" s="404"/>
      <c r="E19" s="404"/>
      <c r="F19" s="89" t="s">
        <v>10</v>
      </c>
      <c r="G19" s="86">
        <f t="shared" si="9"/>
        <v>6306.999811629812</v>
      </c>
      <c r="H19" s="86">
        <f t="shared" si="9"/>
        <v>36825.110215670218</v>
      </c>
      <c r="I19" s="86">
        <f t="shared" si="9"/>
        <v>1095.4000000000001</v>
      </c>
      <c r="J19" s="87"/>
      <c r="K19" s="87"/>
    </row>
    <row r="20" spans="1:11" s="88" customFormat="1" x14ac:dyDescent="0.25">
      <c r="A20" s="422"/>
      <c r="B20" s="407"/>
      <c r="C20" s="404"/>
      <c r="D20" s="404"/>
      <c r="E20" s="404"/>
      <c r="F20" s="89" t="s">
        <v>11</v>
      </c>
      <c r="G20" s="86">
        <f t="shared" si="9"/>
        <v>174605.28644999999</v>
      </c>
      <c r="H20" s="86">
        <f t="shared" si="9"/>
        <v>118308.04783</v>
      </c>
      <c r="I20" s="86">
        <f t="shared" si="9"/>
        <v>0</v>
      </c>
      <c r="J20" s="87"/>
      <c r="K20" s="87"/>
    </row>
    <row r="21" spans="1:11" s="93" customFormat="1" x14ac:dyDescent="0.25">
      <c r="A21" s="419"/>
      <c r="B21" s="409" t="s">
        <v>148</v>
      </c>
      <c r="C21" s="408"/>
      <c r="D21" s="408"/>
      <c r="E21" s="408"/>
      <c r="F21" s="90" t="s">
        <v>7</v>
      </c>
      <c r="G21" s="91">
        <f t="shared" ref="G21:H21" si="10">G22+G23+G24+G25</f>
        <v>321489.99</v>
      </c>
      <c r="H21" s="91">
        <f t="shared" si="10"/>
        <v>299668.14252875</v>
      </c>
      <c r="I21" s="91">
        <f>SUM(I22:I25)</f>
        <v>1226413.73</v>
      </c>
      <c r="J21" s="92"/>
      <c r="K21" s="92"/>
    </row>
    <row r="22" spans="1:11" s="93" customFormat="1" x14ac:dyDescent="0.25">
      <c r="A22" s="419"/>
      <c r="B22" s="410"/>
      <c r="C22" s="408"/>
      <c r="D22" s="408"/>
      <c r="E22" s="408"/>
      <c r="F22" s="94" t="s">
        <v>8</v>
      </c>
      <c r="G22" s="91">
        <f t="shared" ref="G22:I25" si="11">G97+G102+G132+G137+G142+G177+G182+G187+G192+G197+G202+G207+G212+G222+G247+G252+G257+G262</f>
        <v>0</v>
      </c>
      <c r="H22" s="91">
        <f t="shared" si="11"/>
        <v>0</v>
      </c>
      <c r="I22" s="91">
        <f t="shared" si="11"/>
        <v>0</v>
      </c>
      <c r="J22" s="92"/>
      <c r="K22" s="92"/>
    </row>
    <row r="23" spans="1:11" s="93" customFormat="1" x14ac:dyDescent="0.25">
      <c r="A23" s="419"/>
      <c r="B23" s="410"/>
      <c r="C23" s="408"/>
      <c r="D23" s="408"/>
      <c r="E23" s="408"/>
      <c r="F23" s="94" t="s">
        <v>9</v>
      </c>
      <c r="G23" s="91">
        <f t="shared" si="11"/>
        <v>260166.69583999997</v>
      </c>
      <c r="H23" s="91">
        <f t="shared" si="11"/>
        <v>229538.85836874999</v>
      </c>
      <c r="I23" s="91">
        <f t="shared" si="11"/>
        <v>1221413.73</v>
      </c>
      <c r="J23" s="92" t="e">
        <f>#REF!/#REF!*100</f>
        <v>#REF!</v>
      </c>
      <c r="K23" s="92"/>
    </row>
    <row r="24" spans="1:11" s="93" customFormat="1" x14ac:dyDescent="0.25">
      <c r="A24" s="419"/>
      <c r="B24" s="410"/>
      <c r="C24" s="408"/>
      <c r="D24" s="408"/>
      <c r="E24" s="408"/>
      <c r="F24" s="94" t="s">
        <v>10</v>
      </c>
      <c r="G24" s="91">
        <f t="shared" si="11"/>
        <v>19323.294159999998</v>
      </c>
      <c r="H24" s="91">
        <f t="shared" si="11"/>
        <v>18129.284159999999</v>
      </c>
      <c r="I24" s="91">
        <f t="shared" si="11"/>
        <v>5000</v>
      </c>
      <c r="J24" s="92"/>
      <c r="K24" s="92"/>
    </row>
    <row r="25" spans="1:11" s="93" customFormat="1" x14ac:dyDescent="0.25">
      <c r="A25" s="419"/>
      <c r="B25" s="411"/>
      <c r="C25" s="408"/>
      <c r="D25" s="408"/>
      <c r="E25" s="408"/>
      <c r="F25" s="94" t="s">
        <v>11</v>
      </c>
      <c r="G25" s="91">
        <f t="shared" si="11"/>
        <v>42000</v>
      </c>
      <c r="H25" s="91">
        <f t="shared" si="11"/>
        <v>52000</v>
      </c>
      <c r="I25" s="91">
        <f t="shared" si="11"/>
        <v>0</v>
      </c>
      <c r="J25" s="92"/>
      <c r="K25" s="92"/>
    </row>
    <row r="26" spans="1:11" s="68" customFormat="1" ht="18.75" x14ac:dyDescent="0.25">
      <c r="A26" s="424" t="s">
        <v>12</v>
      </c>
      <c r="B26" s="403" t="s">
        <v>13</v>
      </c>
      <c r="C26" s="396"/>
      <c r="D26" s="392"/>
      <c r="E26" s="392"/>
      <c r="F26" s="65" t="s">
        <v>7</v>
      </c>
      <c r="G26" s="66">
        <f t="shared" ref="G26:H26" si="12">SUM(G27:G30)</f>
        <v>329400</v>
      </c>
      <c r="H26" s="66">
        <f t="shared" si="12"/>
        <v>1057935.53</v>
      </c>
      <c r="I26" s="66">
        <f>SUM(I27:I30)</f>
        <v>30000</v>
      </c>
      <c r="J26" s="67" t="e">
        <f>#REF!/#REF!*100</f>
        <v>#REF!</v>
      </c>
      <c r="K26" s="67"/>
    </row>
    <row r="27" spans="1:11" s="68" customFormat="1" ht="18.75" x14ac:dyDescent="0.25">
      <c r="A27" s="424"/>
      <c r="B27" s="403"/>
      <c r="C27" s="396"/>
      <c r="D27" s="392"/>
      <c r="E27" s="392"/>
      <c r="F27" s="69" t="s">
        <v>8</v>
      </c>
      <c r="G27" s="66">
        <f>G32+G37+G42+G47+G52+G57+G62+G67</f>
        <v>0</v>
      </c>
      <c r="H27" s="66">
        <f t="shared" ref="H27:I27" si="13">H32+H37+H42+H47+H52+H57+H62+H67</f>
        <v>712500</v>
      </c>
      <c r="I27" s="66">
        <f t="shared" si="13"/>
        <v>0</v>
      </c>
      <c r="J27" s="67"/>
      <c r="K27" s="67"/>
    </row>
    <row r="28" spans="1:11" s="68" customFormat="1" ht="18.75" x14ac:dyDescent="0.25">
      <c r="A28" s="424"/>
      <c r="B28" s="403"/>
      <c r="C28" s="396"/>
      <c r="D28" s="392"/>
      <c r="E28" s="392"/>
      <c r="F28" s="69" t="s">
        <v>9</v>
      </c>
      <c r="G28" s="66">
        <f>G33+G38+G43+G48+G53+G58+G63+G68</f>
        <v>324900</v>
      </c>
      <c r="H28" s="66">
        <f t="shared" ref="H28:I28" si="14">H33+H38+H43+H48+H53+H58+H63+H68</f>
        <v>345435.53</v>
      </c>
      <c r="I28" s="66">
        <f t="shared" si="14"/>
        <v>30000</v>
      </c>
      <c r="J28" s="67"/>
      <c r="K28" s="67"/>
    </row>
    <row r="29" spans="1:11" s="68" customFormat="1" ht="18.75" x14ac:dyDescent="0.25">
      <c r="A29" s="424"/>
      <c r="B29" s="403"/>
      <c r="C29" s="396"/>
      <c r="D29" s="392"/>
      <c r="E29" s="392"/>
      <c r="F29" s="69" t="s">
        <v>10</v>
      </c>
      <c r="G29" s="66">
        <f>G34+G39+G44+G49+G54+G59+G64+G69</f>
        <v>4500</v>
      </c>
      <c r="H29" s="66">
        <f t="shared" ref="H29:I29" si="15">H34+H39+H44+H49+H54+H59+H64+H69</f>
        <v>0</v>
      </c>
      <c r="I29" s="66">
        <f t="shared" si="15"/>
        <v>0</v>
      </c>
      <c r="J29" s="67"/>
      <c r="K29" s="67"/>
    </row>
    <row r="30" spans="1:11" s="68" customFormat="1" ht="18.75" x14ac:dyDescent="0.25">
      <c r="A30" s="424"/>
      <c r="B30" s="403"/>
      <c r="C30" s="396"/>
      <c r="D30" s="392"/>
      <c r="E30" s="392"/>
      <c r="F30" s="69" t="s">
        <v>11</v>
      </c>
      <c r="G30" s="66">
        <f>G35+G40+G45+G50+G55+G60+G65+G70</f>
        <v>0</v>
      </c>
      <c r="H30" s="66">
        <f t="shared" ref="H30:I30" si="16">H35+H40+H45+H50+H55+H60+H65+H70</f>
        <v>0</v>
      </c>
      <c r="I30" s="66">
        <f t="shared" si="16"/>
        <v>0</v>
      </c>
      <c r="J30" s="67"/>
      <c r="K30" s="67"/>
    </row>
    <row r="31" spans="1:11" s="23" customFormat="1" ht="18.75" outlineLevel="1" x14ac:dyDescent="0.25">
      <c r="A31" s="416" t="s">
        <v>89</v>
      </c>
      <c r="B31" s="417" t="s">
        <v>15</v>
      </c>
      <c r="C31" s="417" t="s">
        <v>65</v>
      </c>
      <c r="D31" s="417" t="s">
        <v>14</v>
      </c>
      <c r="E31" s="351" t="s">
        <v>16</v>
      </c>
      <c r="F31" s="4" t="s">
        <v>7</v>
      </c>
      <c r="G31" s="2">
        <f>SUM(G32:G35)</f>
        <v>100000</v>
      </c>
      <c r="H31" s="2">
        <f>SUM(H32:H35)</f>
        <v>100000</v>
      </c>
      <c r="I31" s="2">
        <f>SUM(I32:I35)</f>
        <v>0</v>
      </c>
      <c r="J31" s="42"/>
      <c r="K31" s="42"/>
    </row>
    <row r="32" spans="1:11" s="23" customFormat="1" ht="18.75" outlineLevel="1" x14ac:dyDescent="0.25">
      <c r="A32" s="416"/>
      <c r="B32" s="417"/>
      <c r="C32" s="417"/>
      <c r="D32" s="417"/>
      <c r="E32" s="351"/>
      <c r="F32" s="6" t="s">
        <v>8</v>
      </c>
      <c r="G32" s="7"/>
      <c r="H32" s="7"/>
      <c r="I32" s="7"/>
      <c r="J32" s="42"/>
      <c r="K32" s="42"/>
    </row>
    <row r="33" spans="1:11" s="23" customFormat="1" ht="18.75" outlineLevel="1" x14ac:dyDescent="0.25">
      <c r="A33" s="416"/>
      <c r="B33" s="417"/>
      <c r="C33" s="417"/>
      <c r="D33" s="417"/>
      <c r="E33" s="351"/>
      <c r="F33" s="6" t="s">
        <v>9</v>
      </c>
      <c r="G33" s="7">
        <v>100000</v>
      </c>
      <c r="H33" s="7">
        <v>100000</v>
      </c>
      <c r="I33" s="7"/>
      <c r="J33" s="42"/>
      <c r="K33" s="42"/>
    </row>
    <row r="34" spans="1:11" s="23" customFormat="1" ht="18.75" outlineLevel="1" x14ac:dyDescent="0.25">
      <c r="A34" s="416"/>
      <c r="B34" s="417"/>
      <c r="C34" s="417"/>
      <c r="D34" s="417"/>
      <c r="E34" s="351"/>
      <c r="F34" s="6" t="s">
        <v>10</v>
      </c>
      <c r="G34" s="7"/>
      <c r="H34" s="7"/>
      <c r="I34" s="7"/>
      <c r="J34" s="42"/>
      <c r="K34" s="42"/>
    </row>
    <row r="35" spans="1:11" s="23" customFormat="1" ht="18.75" outlineLevel="1" x14ac:dyDescent="0.25">
      <c r="A35" s="416"/>
      <c r="B35" s="417"/>
      <c r="C35" s="417"/>
      <c r="D35" s="417"/>
      <c r="E35" s="351"/>
      <c r="F35" s="6" t="s">
        <v>11</v>
      </c>
      <c r="G35" s="7"/>
      <c r="H35" s="7"/>
      <c r="I35" s="7"/>
      <c r="J35" s="42"/>
      <c r="K35" s="42"/>
    </row>
    <row r="36" spans="1:11" s="24" customFormat="1" ht="15.75" outlineLevel="1" x14ac:dyDescent="0.25">
      <c r="A36" s="416" t="s">
        <v>90</v>
      </c>
      <c r="B36" s="417" t="s">
        <v>174</v>
      </c>
      <c r="C36" s="417" t="s">
        <v>79</v>
      </c>
      <c r="D36" s="417" t="s">
        <v>17</v>
      </c>
      <c r="E36" s="351" t="s">
        <v>63</v>
      </c>
      <c r="F36" s="4" t="s">
        <v>7</v>
      </c>
      <c r="G36" s="2">
        <f>SUM(G37:G40)</f>
        <v>24900</v>
      </c>
      <c r="H36" s="2">
        <f>SUM(H37:H40)</f>
        <v>22935.53</v>
      </c>
      <c r="I36" s="2">
        <v>0</v>
      </c>
      <c r="J36" s="43"/>
      <c r="K36" s="43"/>
    </row>
    <row r="37" spans="1:11" s="24" customFormat="1" ht="15.75" outlineLevel="1" x14ac:dyDescent="0.25">
      <c r="A37" s="416"/>
      <c r="B37" s="417"/>
      <c r="C37" s="417"/>
      <c r="D37" s="417"/>
      <c r="E37" s="351"/>
      <c r="F37" s="6" t="s">
        <v>8</v>
      </c>
      <c r="G37" s="10"/>
      <c r="H37" s="10"/>
      <c r="I37" s="10"/>
      <c r="J37" s="43"/>
      <c r="K37" s="43"/>
    </row>
    <row r="38" spans="1:11" s="24" customFormat="1" ht="15.75" outlineLevel="1" x14ac:dyDescent="0.25">
      <c r="A38" s="416"/>
      <c r="B38" s="417"/>
      <c r="C38" s="417"/>
      <c r="D38" s="417"/>
      <c r="E38" s="351"/>
      <c r="F38" s="6" t="s">
        <v>9</v>
      </c>
      <c r="G38" s="188">
        <v>24900</v>
      </c>
      <c r="H38" s="188">
        <v>22935.53</v>
      </c>
      <c r="I38" s="10"/>
      <c r="J38" s="43"/>
      <c r="K38" s="43"/>
    </row>
    <row r="39" spans="1:11" s="24" customFormat="1" ht="15.75" outlineLevel="1" x14ac:dyDescent="0.25">
      <c r="A39" s="416"/>
      <c r="B39" s="417"/>
      <c r="C39" s="417"/>
      <c r="D39" s="417"/>
      <c r="E39" s="351"/>
      <c r="F39" s="6" t="s">
        <v>10</v>
      </c>
      <c r="G39" s="10"/>
      <c r="H39" s="10"/>
      <c r="I39" s="10"/>
      <c r="J39" s="43"/>
      <c r="K39" s="43"/>
    </row>
    <row r="40" spans="1:11" s="24" customFormat="1" ht="15.75" outlineLevel="1" x14ac:dyDescent="0.25">
      <c r="A40" s="416"/>
      <c r="B40" s="417"/>
      <c r="C40" s="417"/>
      <c r="D40" s="417"/>
      <c r="E40" s="351"/>
      <c r="F40" s="6" t="s">
        <v>11</v>
      </c>
      <c r="G40" s="10"/>
      <c r="H40" s="10"/>
      <c r="I40" s="10"/>
      <c r="J40" s="43"/>
      <c r="K40" s="43"/>
    </row>
    <row r="41" spans="1:11" s="9" customFormat="1" outlineLevel="1" x14ac:dyDescent="0.25">
      <c r="A41" s="416" t="s">
        <v>91</v>
      </c>
      <c r="B41" s="417" t="s">
        <v>173</v>
      </c>
      <c r="C41" s="417"/>
      <c r="D41" s="417" t="s">
        <v>18</v>
      </c>
      <c r="E41" s="418" t="s">
        <v>39</v>
      </c>
      <c r="F41" s="4" t="s">
        <v>7</v>
      </c>
      <c r="G41" s="5">
        <f t="shared" ref="G41:H41" si="17">SUM(G42:G45)</f>
        <v>3500</v>
      </c>
      <c r="H41" s="5">
        <f t="shared" si="17"/>
        <v>0</v>
      </c>
      <c r="I41" s="5">
        <f>SUM(I42:I45)</f>
        <v>0</v>
      </c>
      <c r="J41" s="41"/>
      <c r="K41" s="41"/>
    </row>
    <row r="42" spans="1:11" s="9" customFormat="1" outlineLevel="1" x14ac:dyDescent="0.25">
      <c r="A42" s="416"/>
      <c r="B42" s="417"/>
      <c r="C42" s="417"/>
      <c r="D42" s="417"/>
      <c r="E42" s="418"/>
      <c r="F42" s="6" t="s">
        <v>8</v>
      </c>
      <c r="G42" s="8"/>
      <c r="H42" s="8"/>
      <c r="I42" s="8"/>
      <c r="J42" s="41"/>
      <c r="K42" s="41"/>
    </row>
    <row r="43" spans="1:11" s="9" customFormat="1" outlineLevel="1" x14ac:dyDescent="0.25">
      <c r="A43" s="416"/>
      <c r="B43" s="417"/>
      <c r="C43" s="417"/>
      <c r="D43" s="417"/>
      <c r="E43" s="418"/>
      <c r="F43" s="6" t="s">
        <v>9</v>
      </c>
      <c r="G43" s="8"/>
      <c r="H43" s="8"/>
      <c r="I43" s="8"/>
      <c r="J43" s="41"/>
      <c r="K43" s="41"/>
    </row>
    <row r="44" spans="1:11" s="9" customFormat="1" outlineLevel="1" x14ac:dyDescent="0.25">
      <c r="A44" s="416"/>
      <c r="B44" s="417"/>
      <c r="C44" s="417"/>
      <c r="D44" s="417"/>
      <c r="E44" s="418"/>
      <c r="F44" s="6" t="s">
        <v>10</v>
      </c>
      <c r="G44" s="8">
        <v>3500</v>
      </c>
      <c r="H44" s="8"/>
      <c r="I44" s="8"/>
      <c r="J44" s="41"/>
      <c r="K44" s="41"/>
    </row>
    <row r="45" spans="1:11" s="9" customFormat="1" outlineLevel="1" x14ac:dyDescent="0.25">
      <c r="A45" s="416"/>
      <c r="B45" s="417"/>
      <c r="C45" s="417"/>
      <c r="D45" s="417"/>
      <c r="E45" s="418"/>
      <c r="F45" s="6" t="s">
        <v>11</v>
      </c>
      <c r="G45" s="8"/>
      <c r="H45" s="8"/>
      <c r="I45" s="8"/>
      <c r="J45" s="41"/>
      <c r="K45" s="41"/>
    </row>
    <row r="46" spans="1:11" s="9" customFormat="1" outlineLevel="1" x14ac:dyDescent="0.25">
      <c r="A46" s="416" t="s">
        <v>94</v>
      </c>
      <c r="B46" s="417" t="s">
        <v>23</v>
      </c>
      <c r="C46" s="417" t="s">
        <v>22</v>
      </c>
      <c r="D46" s="417" t="s">
        <v>14</v>
      </c>
      <c r="E46" s="418" t="s">
        <v>24</v>
      </c>
      <c r="F46" s="4" t="s">
        <v>7</v>
      </c>
      <c r="G46" s="5">
        <f>SUM(G47:G50)</f>
        <v>100000</v>
      </c>
      <c r="H46" s="5">
        <f>SUM(H47:H50)</f>
        <v>170000</v>
      </c>
      <c r="I46" s="5">
        <f>SUM(I47:I50)</f>
        <v>30000</v>
      </c>
      <c r="J46" s="41"/>
      <c r="K46" s="41"/>
    </row>
    <row r="47" spans="1:11" s="9" customFormat="1" outlineLevel="1" x14ac:dyDescent="0.25">
      <c r="A47" s="416"/>
      <c r="B47" s="417"/>
      <c r="C47" s="417"/>
      <c r="D47" s="417"/>
      <c r="E47" s="418"/>
      <c r="F47" s="6" t="s">
        <v>8</v>
      </c>
      <c r="G47" s="8"/>
      <c r="H47" s="8"/>
      <c r="I47" s="8"/>
      <c r="J47" s="41"/>
      <c r="K47" s="41"/>
    </row>
    <row r="48" spans="1:11" s="9" customFormat="1" outlineLevel="1" x14ac:dyDescent="0.25">
      <c r="A48" s="416"/>
      <c r="B48" s="417"/>
      <c r="C48" s="417"/>
      <c r="D48" s="417"/>
      <c r="E48" s="418"/>
      <c r="F48" s="6" t="s">
        <v>9</v>
      </c>
      <c r="G48" s="8">
        <v>100000</v>
      </c>
      <c r="H48" s="8">
        <v>170000</v>
      </c>
      <c r="I48" s="8">
        <v>30000</v>
      </c>
      <c r="J48" s="41"/>
      <c r="K48" s="41"/>
    </row>
    <row r="49" spans="1:11" s="9" customFormat="1" outlineLevel="1" x14ac:dyDescent="0.25">
      <c r="A49" s="416"/>
      <c r="B49" s="417"/>
      <c r="C49" s="417"/>
      <c r="D49" s="417"/>
      <c r="E49" s="418"/>
      <c r="F49" s="6" t="s">
        <v>10</v>
      </c>
      <c r="G49" s="8"/>
      <c r="H49" s="8"/>
      <c r="I49" s="8"/>
      <c r="J49" s="41"/>
      <c r="K49" s="41"/>
    </row>
    <row r="50" spans="1:11" s="9" customFormat="1" outlineLevel="1" x14ac:dyDescent="0.25">
      <c r="A50" s="416"/>
      <c r="B50" s="417"/>
      <c r="C50" s="417"/>
      <c r="D50" s="417"/>
      <c r="E50" s="418"/>
      <c r="F50" s="6" t="s">
        <v>11</v>
      </c>
      <c r="G50" s="8"/>
      <c r="H50" s="8"/>
      <c r="I50" s="8"/>
      <c r="J50" s="41"/>
      <c r="K50" s="41"/>
    </row>
    <row r="51" spans="1:11" s="9" customFormat="1" outlineLevel="1" x14ac:dyDescent="0.25">
      <c r="A51" s="416" t="s">
        <v>95</v>
      </c>
      <c r="B51" s="417" t="s">
        <v>182</v>
      </c>
      <c r="C51" s="417" t="s">
        <v>188</v>
      </c>
      <c r="D51" s="417" t="s">
        <v>74</v>
      </c>
      <c r="E51" s="351">
        <v>2024</v>
      </c>
      <c r="F51" s="4" t="s">
        <v>7</v>
      </c>
      <c r="G51" s="11">
        <f t="shared" ref="G51:H51" si="18">SUM(G52:G55)</f>
        <v>85000</v>
      </c>
      <c r="H51" s="11">
        <f t="shared" si="18"/>
        <v>0</v>
      </c>
      <c r="I51" s="10">
        <f>SUM(I52:I55)</f>
        <v>0</v>
      </c>
      <c r="J51" s="41"/>
      <c r="K51" s="41"/>
    </row>
    <row r="52" spans="1:11" s="9" customFormat="1" outlineLevel="1" x14ac:dyDescent="0.25">
      <c r="A52" s="416"/>
      <c r="B52" s="417"/>
      <c r="C52" s="417"/>
      <c r="D52" s="417"/>
      <c r="E52" s="351"/>
      <c r="F52" s="6" t="s">
        <v>8</v>
      </c>
      <c r="G52" s="10"/>
      <c r="H52" s="10"/>
      <c r="I52" s="10"/>
      <c r="J52" s="41"/>
      <c r="K52" s="41"/>
    </row>
    <row r="53" spans="1:11" s="9" customFormat="1" outlineLevel="1" x14ac:dyDescent="0.25">
      <c r="A53" s="416"/>
      <c r="B53" s="417"/>
      <c r="C53" s="417"/>
      <c r="D53" s="417"/>
      <c r="E53" s="351"/>
      <c r="F53" s="6" t="s">
        <v>9</v>
      </c>
      <c r="G53" s="10">
        <v>85000</v>
      </c>
      <c r="H53" s="10"/>
      <c r="I53" s="10"/>
      <c r="J53" s="41"/>
      <c r="K53" s="41"/>
    </row>
    <row r="54" spans="1:11" s="9" customFormat="1" outlineLevel="1" x14ac:dyDescent="0.25">
      <c r="A54" s="416"/>
      <c r="B54" s="417"/>
      <c r="C54" s="417"/>
      <c r="D54" s="417"/>
      <c r="E54" s="351"/>
      <c r="F54" s="6" t="s">
        <v>10</v>
      </c>
      <c r="G54" s="10"/>
      <c r="H54" s="10"/>
      <c r="I54" s="10"/>
      <c r="J54" s="41"/>
      <c r="K54" s="41"/>
    </row>
    <row r="55" spans="1:11" s="9" customFormat="1" outlineLevel="1" x14ac:dyDescent="0.25">
      <c r="A55" s="416"/>
      <c r="B55" s="417"/>
      <c r="C55" s="417"/>
      <c r="D55" s="417"/>
      <c r="E55" s="351"/>
      <c r="F55" s="6" t="s">
        <v>11</v>
      </c>
      <c r="G55" s="10"/>
      <c r="H55" s="10"/>
      <c r="I55" s="10"/>
      <c r="J55" s="41"/>
      <c r="K55" s="41"/>
    </row>
    <row r="56" spans="1:11" s="9" customFormat="1" outlineLevel="1" x14ac:dyDescent="0.25">
      <c r="A56" s="416" t="s">
        <v>166</v>
      </c>
      <c r="B56" s="425" t="s">
        <v>179</v>
      </c>
      <c r="C56" s="417" t="s">
        <v>188</v>
      </c>
      <c r="D56" s="425" t="s">
        <v>20</v>
      </c>
      <c r="E56" s="352">
        <v>2025</v>
      </c>
      <c r="F56" s="4" t="s">
        <v>7</v>
      </c>
      <c r="G56" s="11">
        <f t="shared" ref="G56:H56" si="19">SUM(G57:G60)</f>
        <v>0</v>
      </c>
      <c r="H56" s="11">
        <f t="shared" si="19"/>
        <v>750000</v>
      </c>
      <c r="I56" s="10">
        <f>SUM(I57:I60)</f>
        <v>0</v>
      </c>
      <c r="J56" s="41"/>
      <c r="K56" s="41"/>
    </row>
    <row r="57" spans="1:11" s="9" customFormat="1" outlineLevel="1" x14ac:dyDescent="0.25">
      <c r="A57" s="416"/>
      <c r="B57" s="426"/>
      <c r="C57" s="417"/>
      <c r="D57" s="426"/>
      <c r="E57" s="428"/>
      <c r="F57" s="6" t="s">
        <v>8</v>
      </c>
      <c r="G57" s="10"/>
      <c r="H57" s="10">
        <v>712500</v>
      </c>
      <c r="I57" s="10"/>
      <c r="J57" s="41"/>
      <c r="K57" s="41"/>
    </row>
    <row r="58" spans="1:11" s="9" customFormat="1" outlineLevel="1" x14ac:dyDescent="0.25">
      <c r="A58" s="416"/>
      <c r="B58" s="426"/>
      <c r="C58" s="417"/>
      <c r="D58" s="426"/>
      <c r="E58" s="428"/>
      <c r="F58" s="6" t="s">
        <v>9</v>
      </c>
      <c r="G58" s="10"/>
      <c r="H58" s="10">
        <v>37500</v>
      </c>
      <c r="I58" s="10"/>
      <c r="J58" s="41"/>
      <c r="K58" s="41"/>
    </row>
    <row r="59" spans="1:11" s="9" customFormat="1" outlineLevel="1" x14ac:dyDescent="0.25">
      <c r="A59" s="416"/>
      <c r="B59" s="426"/>
      <c r="C59" s="417"/>
      <c r="D59" s="426"/>
      <c r="E59" s="428"/>
      <c r="F59" s="6" t="s">
        <v>10</v>
      </c>
      <c r="G59" s="10"/>
      <c r="H59" s="10"/>
      <c r="I59" s="10"/>
      <c r="J59" s="41"/>
      <c r="K59" s="41"/>
    </row>
    <row r="60" spans="1:11" s="9" customFormat="1" outlineLevel="1" x14ac:dyDescent="0.25">
      <c r="A60" s="416"/>
      <c r="B60" s="427"/>
      <c r="C60" s="417"/>
      <c r="D60" s="427"/>
      <c r="E60" s="429"/>
      <c r="F60" s="6" t="s">
        <v>11</v>
      </c>
      <c r="G60" s="10"/>
      <c r="H60" s="10"/>
      <c r="I60" s="10"/>
      <c r="J60" s="41"/>
      <c r="K60" s="41"/>
    </row>
    <row r="61" spans="1:11" s="9" customFormat="1" outlineLevel="1" x14ac:dyDescent="0.25">
      <c r="A61" s="416" t="s">
        <v>157</v>
      </c>
      <c r="B61" s="417" t="s">
        <v>149</v>
      </c>
      <c r="C61" s="417"/>
      <c r="D61" s="417" t="s">
        <v>20</v>
      </c>
      <c r="E61" s="351">
        <v>2024</v>
      </c>
      <c r="F61" s="4" t="s">
        <v>7</v>
      </c>
      <c r="G61" s="11">
        <f>SUM(G62:G65)</f>
        <v>11000</v>
      </c>
      <c r="H61" s="11">
        <f>SUM(H62:H65)</f>
        <v>0</v>
      </c>
      <c r="I61" s="10">
        <f>SUM(I62:I65)</f>
        <v>0</v>
      </c>
      <c r="J61" s="41"/>
      <c r="K61" s="41"/>
    </row>
    <row r="62" spans="1:11" s="9" customFormat="1" outlineLevel="1" x14ac:dyDescent="0.25">
      <c r="A62" s="416"/>
      <c r="B62" s="417"/>
      <c r="C62" s="417"/>
      <c r="D62" s="417"/>
      <c r="E62" s="351"/>
      <c r="F62" s="6" t="s">
        <v>8</v>
      </c>
      <c r="G62" s="10"/>
      <c r="H62" s="10"/>
      <c r="I62" s="10"/>
      <c r="J62" s="41"/>
      <c r="K62" s="41"/>
    </row>
    <row r="63" spans="1:11" s="9" customFormat="1" outlineLevel="1" x14ac:dyDescent="0.25">
      <c r="A63" s="416"/>
      <c r="B63" s="417"/>
      <c r="C63" s="417"/>
      <c r="D63" s="417"/>
      <c r="E63" s="351"/>
      <c r="F63" s="6" t="s">
        <v>9</v>
      </c>
      <c r="G63" s="32">
        <v>10000</v>
      </c>
      <c r="H63" s="10"/>
      <c r="I63" s="10"/>
      <c r="J63" s="41"/>
      <c r="K63" s="41"/>
    </row>
    <row r="64" spans="1:11" s="9" customFormat="1" outlineLevel="1" x14ac:dyDescent="0.25">
      <c r="A64" s="416"/>
      <c r="B64" s="417"/>
      <c r="C64" s="417"/>
      <c r="D64" s="417"/>
      <c r="E64" s="351"/>
      <c r="F64" s="6" t="s">
        <v>10</v>
      </c>
      <c r="G64" s="10">
        <v>1000</v>
      </c>
      <c r="H64" s="10"/>
      <c r="I64" s="10"/>
      <c r="J64" s="41"/>
      <c r="K64" s="41"/>
    </row>
    <row r="65" spans="1:12" s="9" customFormat="1" outlineLevel="1" x14ac:dyDescent="0.25">
      <c r="A65" s="416"/>
      <c r="B65" s="417"/>
      <c r="C65" s="417"/>
      <c r="D65" s="417"/>
      <c r="E65" s="351"/>
      <c r="F65" s="6" t="s">
        <v>11</v>
      </c>
      <c r="G65" s="10"/>
      <c r="H65" s="10"/>
      <c r="I65" s="10"/>
      <c r="J65" s="41"/>
      <c r="K65" s="41"/>
    </row>
    <row r="66" spans="1:12" s="12" customFormat="1" outlineLevel="1" x14ac:dyDescent="0.25">
      <c r="A66" s="416" t="s">
        <v>178</v>
      </c>
      <c r="B66" s="417" t="s">
        <v>64</v>
      </c>
      <c r="C66" s="417"/>
      <c r="D66" s="417" t="s">
        <v>186</v>
      </c>
      <c r="E66" s="418" t="s">
        <v>16</v>
      </c>
      <c r="F66" s="4" t="s">
        <v>7</v>
      </c>
      <c r="G66" s="2">
        <f>SUM(G67:G70)</f>
        <v>5000</v>
      </c>
      <c r="H66" s="2">
        <f>SUM(H67:H70)</f>
        <v>15000</v>
      </c>
      <c r="I66" s="2">
        <f>SUM(I67:I70)</f>
        <v>0</v>
      </c>
      <c r="J66" s="41"/>
      <c r="K66" s="41"/>
      <c r="L66" s="9"/>
    </row>
    <row r="67" spans="1:12" s="12" customFormat="1" outlineLevel="1" x14ac:dyDescent="0.25">
      <c r="A67" s="416"/>
      <c r="B67" s="417"/>
      <c r="C67" s="417"/>
      <c r="D67" s="417"/>
      <c r="E67" s="418"/>
      <c r="F67" s="6" t="s">
        <v>8</v>
      </c>
      <c r="G67" s="10"/>
      <c r="H67" s="10"/>
      <c r="I67" s="10"/>
      <c r="J67" s="41"/>
      <c r="K67" s="41"/>
      <c r="L67" s="9"/>
    </row>
    <row r="68" spans="1:12" s="12" customFormat="1" outlineLevel="1" x14ac:dyDescent="0.25">
      <c r="A68" s="416"/>
      <c r="B68" s="417"/>
      <c r="C68" s="417"/>
      <c r="D68" s="417"/>
      <c r="E68" s="418"/>
      <c r="F68" s="6" t="s">
        <v>9</v>
      </c>
      <c r="G68" s="33">
        <v>5000</v>
      </c>
      <c r="H68" s="34">
        <v>15000</v>
      </c>
      <c r="I68" s="10"/>
      <c r="J68" s="41"/>
      <c r="K68" s="41"/>
      <c r="L68" s="9"/>
    </row>
    <row r="69" spans="1:12" s="12" customFormat="1" outlineLevel="1" x14ac:dyDescent="0.25">
      <c r="A69" s="416"/>
      <c r="B69" s="417"/>
      <c r="C69" s="417"/>
      <c r="D69" s="417"/>
      <c r="E69" s="418"/>
      <c r="F69" s="6" t="s">
        <v>10</v>
      </c>
      <c r="G69" s="10"/>
      <c r="H69" s="10"/>
      <c r="I69" s="10"/>
      <c r="J69" s="41"/>
      <c r="K69" s="41"/>
      <c r="L69" s="9"/>
    </row>
    <row r="70" spans="1:12" s="12" customFormat="1" outlineLevel="1" x14ac:dyDescent="0.25">
      <c r="A70" s="416"/>
      <c r="B70" s="417"/>
      <c r="C70" s="417"/>
      <c r="D70" s="417"/>
      <c r="E70" s="418"/>
      <c r="F70" s="6" t="s">
        <v>11</v>
      </c>
      <c r="G70" s="10"/>
      <c r="H70" s="10"/>
      <c r="I70" s="10"/>
      <c r="J70" s="41"/>
      <c r="K70" s="41"/>
      <c r="L70" s="9"/>
    </row>
    <row r="71" spans="1:12" s="72" customFormat="1" x14ac:dyDescent="0.25">
      <c r="A71" s="424" t="s">
        <v>25</v>
      </c>
      <c r="B71" s="382" t="s">
        <v>26</v>
      </c>
      <c r="C71" s="396"/>
      <c r="D71" s="381"/>
      <c r="E71" s="381"/>
      <c r="F71" s="65" t="s">
        <v>7</v>
      </c>
      <c r="G71" s="66">
        <f t="shared" ref="G71:H71" si="20">SUM(G72:G75)</f>
        <v>263299.13072072068</v>
      </c>
      <c r="H71" s="66">
        <f t="shared" si="20"/>
        <v>217449.50324947073</v>
      </c>
      <c r="I71" s="66">
        <f>SUM(I72:I75)</f>
        <v>208633.63999999998</v>
      </c>
      <c r="J71" s="70" t="e">
        <f>#REF!+#REF!</f>
        <v>#REF!</v>
      </c>
      <c r="K71" s="71" t="e">
        <f>J71/#REF!*100</f>
        <v>#REF!</v>
      </c>
    </row>
    <row r="72" spans="1:12" s="72" customFormat="1" x14ac:dyDescent="0.25">
      <c r="A72" s="424"/>
      <c r="B72" s="382"/>
      <c r="C72" s="396"/>
      <c r="D72" s="381"/>
      <c r="E72" s="381"/>
      <c r="F72" s="69" t="s">
        <v>8</v>
      </c>
      <c r="G72" s="73">
        <f>G77+G87+G82+G92+G97+G102</f>
        <v>0</v>
      </c>
      <c r="H72" s="73">
        <f t="shared" ref="H72:I72" si="21">H77+H87+H82+H92+H97+H102</f>
        <v>0</v>
      </c>
      <c r="I72" s="73">
        <f t="shared" si="21"/>
        <v>0</v>
      </c>
      <c r="J72" s="71"/>
      <c r="K72" s="71"/>
    </row>
    <row r="73" spans="1:12" s="72" customFormat="1" x14ac:dyDescent="0.25">
      <c r="A73" s="424"/>
      <c r="B73" s="382"/>
      <c r="C73" s="396"/>
      <c r="D73" s="381"/>
      <c r="E73" s="381"/>
      <c r="F73" s="69" t="s">
        <v>9</v>
      </c>
      <c r="G73" s="73">
        <f>G78+G88+G83+G93+G98+G103</f>
        <v>262178.64583999995</v>
      </c>
      <c r="H73" s="73">
        <f t="shared" ref="H73:I73" si="22">H78+H88+H83+H93+H98+H103</f>
        <v>216600.51836875</v>
      </c>
      <c r="I73" s="73">
        <f t="shared" si="22"/>
        <v>207538.24</v>
      </c>
      <c r="J73" s="71"/>
      <c r="K73" s="71"/>
    </row>
    <row r="74" spans="1:12" s="72" customFormat="1" x14ac:dyDescent="0.25">
      <c r="A74" s="424"/>
      <c r="B74" s="382"/>
      <c r="C74" s="396"/>
      <c r="D74" s="381"/>
      <c r="E74" s="381"/>
      <c r="F74" s="69" t="s">
        <v>10</v>
      </c>
      <c r="G74" s="73">
        <f>G79+G89+G84+G94+G99+G104</f>
        <v>1120.4848807207206</v>
      </c>
      <c r="H74" s="73">
        <f t="shared" ref="H74:I74" si="23">H79+H89+H84+H94+H99+H104</f>
        <v>848.98488072072064</v>
      </c>
      <c r="I74" s="73">
        <f t="shared" si="23"/>
        <v>1095.4000000000001</v>
      </c>
      <c r="J74" s="71"/>
      <c r="K74" s="71"/>
    </row>
    <row r="75" spans="1:12" s="72" customFormat="1" x14ac:dyDescent="0.25">
      <c r="A75" s="424"/>
      <c r="B75" s="382"/>
      <c r="C75" s="396"/>
      <c r="D75" s="381"/>
      <c r="E75" s="381"/>
      <c r="F75" s="69" t="s">
        <v>11</v>
      </c>
      <c r="G75" s="73">
        <f>G80+G90+G85+G95+G100+G105</f>
        <v>0</v>
      </c>
      <c r="H75" s="73">
        <f t="shared" ref="H75:I75" si="24">H80+H90+H85+H95+H100+H105</f>
        <v>0</v>
      </c>
      <c r="I75" s="73">
        <f t="shared" si="24"/>
        <v>0</v>
      </c>
      <c r="J75" s="71"/>
      <c r="K75" s="71"/>
    </row>
    <row r="76" spans="1:12" s="9" customFormat="1" outlineLevel="1" x14ac:dyDescent="0.25">
      <c r="A76" s="416" t="s">
        <v>98</v>
      </c>
      <c r="B76" s="417" t="s">
        <v>31</v>
      </c>
      <c r="C76" s="417" t="s">
        <v>32</v>
      </c>
      <c r="D76" s="417" t="s">
        <v>68</v>
      </c>
      <c r="E76" s="351" t="s">
        <v>19</v>
      </c>
      <c r="F76" s="4" t="s">
        <v>7</v>
      </c>
      <c r="G76" s="14">
        <f>SUM(G77:G80)</f>
        <v>22600</v>
      </c>
      <c r="H76" s="14">
        <f>SUM(H77:H80)</f>
        <v>0</v>
      </c>
      <c r="I76" s="14">
        <f>SUM(I77:I80)</f>
        <v>0</v>
      </c>
      <c r="J76" s="41"/>
      <c r="K76" s="41"/>
    </row>
    <row r="77" spans="1:12" s="9" customFormat="1" outlineLevel="1" x14ac:dyDescent="0.25">
      <c r="A77" s="416"/>
      <c r="B77" s="417"/>
      <c r="C77" s="417"/>
      <c r="D77" s="417"/>
      <c r="E77" s="351"/>
      <c r="F77" s="6" t="s">
        <v>8</v>
      </c>
      <c r="G77" s="15"/>
      <c r="H77" s="15"/>
      <c r="I77" s="15"/>
      <c r="J77" s="41"/>
      <c r="K77" s="41"/>
    </row>
    <row r="78" spans="1:12" s="9" customFormat="1" outlineLevel="1" x14ac:dyDescent="0.25">
      <c r="A78" s="416"/>
      <c r="B78" s="417"/>
      <c r="C78" s="417"/>
      <c r="D78" s="417"/>
      <c r="E78" s="351"/>
      <c r="F78" s="6" t="s">
        <v>9</v>
      </c>
      <c r="G78" s="35">
        <v>22600</v>
      </c>
      <c r="H78" s="15"/>
      <c r="I78" s="15"/>
      <c r="J78" s="41"/>
      <c r="K78" s="41"/>
    </row>
    <row r="79" spans="1:12" s="9" customFormat="1" outlineLevel="1" x14ac:dyDescent="0.25">
      <c r="A79" s="416"/>
      <c r="B79" s="417"/>
      <c r="C79" s="417"/>
      <c r="D79" s="417"/>
      <c r="E79" s="351"/>
      <c r="F79" s="6" t="s">
        <v>10</v>
      </c>
      <c r="G79" s="15"/>
      <c r="H79" s="15"/>
      <c r="I79" s="15"/>
      <c r="J79" s="41"/>
      <c r="K79" s="41"/>
    </row>
    <row r="80" spans="1:12" s="9" customFormat="1" outlineLevel="1" x14ac:dyDescent="0.25">
      <c r="A80" s="416"/>
      <c r="B80" s="417"/>
      <c r="C80" s="417"/>
      <c r="D80" s="417"/>
      <c r="E80" s="351"/>
      <c r="F80" s="6" t="s">
        <v>11</v>
      </c>
      <c r="G80" s="15"/>
      <c r="H80" s="15"/>
      <c r="I80" s="15"/>
      <c r="J80" s="41"/>
      <c r="K80" s="41"/>
    </row>
    <row r="81" spans="1:11" s="9" customFormat="1" outlineLevel="1" x14ac:dyDescent="0.25">
      <c r="A81" s="416" t="s">
        <v>100</v>
      </c>
      <c r="B81" s="430" t="s">
        <v>34</v>
      </c>
      <c r="C81" s="417" t="s">
        <v>66</v>
      </c>
      <c r="D81" s="417" t="s">
        <v>29</v>
      </c>
      <c r="E81" s="431" t="s">
        <v>24</v>
      </c>
      <c r="F81" s="4" t="s">
        <v>7</v>
      </c>
      <c r="G81" s="13">
        <f>SUM(G82:G85)</f>
        <v>108420.4</v>
      </c>
      <c r="H81" s="13">
        <f>SUM(H82:H85)</f>
        <v>81003.100000000006</v>
      </c>
      <c r="I81" s="13">
        <f>SUM(I82:I85)</f>
        <v>110632.9</v>
      </c>
      <c r="J81" s="41"/>
      <c r="K81" s="41"/>
    </row>
    <row r="82" spans="1:11" s="9" customFormat="1" outlineLevel="1" x14ac:dyDescent="0.25">
      <c r="A82" s="416"/>
      <c r="B82" s="430"/>
      <c r="C82" s="417"/>
      <c r="D82" s="417"/>
      <c r="E82" s="431"/>
      <c r="F82" s="6" t="s">
        <v>8</v>
      </c>
      <c r="G82" s="7"/>
      <c r="H82" s="7"/>
      <c r="I82" s="7"/>
      <c r="J82" s="41"/>
      <c r="K82" s="41"/>
    </row>
    <row r="83" spans="1:11" s="9" customFormat="1" outlineLevel="1" x14ac:dyDescent="0.25">
      <c r="A83" s="416"/>
      <c r="B83" s="430"/>
      <c r="C83" s="417"/>
      <c r="D83" s="417"/>
      <c r="E83" s="431"/>
      <c r="F83" s="6" t="s">
        <v>9</v>
      </c>
      <c r="G83" s="33">
        <v>107346.9</v>
      </c>
      <c r="H83" s="33">
        <v>80201.100000000006</v>
      </c>
      <c r="I83" s="7">
        <v>109537.5</v>
      </c>
      <c r="J83" s="41"/>
      <c r="K83" s="41"/>
    </row>
    <row r="84" spans="1:11" s="9" customFormat="1" outlineLevel="1" x14ac:dyDescent="0.25">
      <c r="A84" s="416"/>
      <c r="B84" s="430"/>
      <c r="C84" s="417"/>
      <c r="D84" s="417"/>
      <c r="E84" s="431"/>
      <c r="F84" s="6" t="s">
        <v>10</v>
      </c>
      <c r="G84" s="7">
        <v>1073.5</v>
      </c>
      <c r="H84" s="7">
        <v>802</v>
      </c>
      <c r="I84" s="7">
        <v>1095.4000000000001</v>
      </c>
      <c r="J84" s="41"/>
      <c r="K84" s="41"/>
    </row>
    <row r="85" spans="1:11" s="9" customFormat="1" outlineLevel="1" x14ac:dyDescent="0.25">
      <c r="A85" s="416"/>
      <c r="B85" s="430"/>
      <c r="C85" s="417"/>
      <c r="D85" s="417"/>
      <c r="E85" s="431"/>
      <c r="F85" s="6" t="s">
        <v>11</v>
      </c>
      <c r="G85" s="7"/>
      <c r="H85" s="7"/>
      <c r="I85" s="7"/>
      <c r="J85" s="41"/>
      <c r="K85" s="41"/>
    </row>
    <row r="86" spans="1:11" s="9" customFormat="1" outlineLevel="1" x14ac:dyDescent="0.25">
      <c r="A86" s="416" t="s">
        <v>165</v>
      </c>
      <c r="B86" s="417" t="s">
        <v>150</v>
      </c>
      <c r="C86" s="417"/>
      <c r="D86" s="417" t="s">
        <v>201</v>
      </c>
      <c r="E86" s="351" t="s">
        <v>38</v>
      </c>
      <c r="F86" s="4" t="s">
        <v>7</v>
      </c>
      <c r="G86" s="5">
        <f>SUM(G87:G90)</f>
        <v>9701.43</v>
      </c>
      <c r="H86" s="5">
        <f>SUM(H87:H90)</f>
        <v>10089.48</v>
      </c>
      <c r="I86" s="5">
        <f>SUM(I87:I90)</f>
        <v>10493.06</v>
      </c>
      <c r="J86" s="41"/>
      <c r="K86" s="41"/>
    </row>
    <row r="87" spans="1:11" s="9" customFormat="1" outlineLevel="1" x14ac:dyDescent="0.25">
      <c r="A87" s="416"/>
      <c r="B87" s="417"/>
      <c r="C87" s="417"/>
      <c r="D87" s="417"/>
      <c r="E87" s="351"/>
      <c r="F87" s="6" t="s">
        <v>8</v>
      </c>
      <c r="G87" s="10"/>
      <c r="H87" s="10"/>
      <c r="I87" s="10"/>
      <c r="J87" s="41"/>
      <c r="K87" s="41"/>
    </row>
    <row r="88" spans="1:11" s="9" customFormat="1" outlineLevel="1" x14ac:dyDescent="0.25">
      <c r="A88" s="416"/>
      <c r="B88" s="417"/>
      <c r="C88" s="417"/>
      <c r="D88" s="417"/>
      <c r="E88" s="351"/>
      <c r="F88" s="6" t="s">
        <v>9</v>
      </c>
      <c r="G88" s="32">
        <v>9701.43</v>
      </c>
      <c r="H88" s="32">
        <v>10089.48</v>
      </c>
      <c r="I88" s="10">
        <v>10493.06</v>
      </c>
      <c r="J88" s="41"/>
      <c r="K88" s="41"/>
    </row>
    <row r="89" spans="1:11" s="9" customFormat="1" outlineLevel="1" x14ac:dyDescent="0.25">
      <c r="A89" s="416"/>
      <c r="B89" s="417"/>
      <c r="C89" s="417"/>
      <c r="D89" s="417"/>
      <c r="E89" s="351"/>
      <c r="F89" s="6" t="s">
        <v>10</v>
      </c>
      <c r="G89" s="10"/>
      <c r="H89" s="10"/>
      <c r="I89" s="10"/>
      <c r="J89" s="41"/>
      <c r="K89" s="41"/>
    </row>
    <row r="90" spans="1:11" s="9" customFormat="1" outlineLevel="1" x14ac:dyDescent="0.25">
      <c r="A90" s="416"/>
      <c r="B90" s="417"/>
      <c r="C90" s="417"/>
      <c r="D90" s="417"/>
      <c r="E90" s="351"/>
      <c r="F90" s="6" t="s">
        <v>11</v>
      </c>
      <c r="G90" s="10"/>
      <c r="H90" s="10"/>
      <c r="I90" s="10"/>
      <c r="J90" s="41"/>
      <c r="K90" s="41"/>
    </row>
    <row r="91" spans="1:11" s="9" customFormat="1" outlineLevel="1" x14ac:dyDescent="0.25">
      <c r="A91" s="416" t="s">
        <v>102</v>
      </c>
      <c r="B91" s="417" t="s">
        <v>162</v>
      </c>
      <c r="C91" s="417"/>
      <c r="D91" s="417" t="s">
        <v>40</v>
      </c>
      <c r="E91" s="351" t="s">
        <v>16</v>
      </c>
      <c r="F91" s="4" t="s">
        <v>7</v>
      </c>
      <c r="G91" s="2">
        <f>SUM(G92:G95)</f>
        <v>20720.720720720721</v>
      </c>
      <c r="H91" s="2">
        <f>SUM(H92:H95)</f>
        <v>20720.720720720721</v>
      </c>
      <c r="I91" s="2">
        <f>SUM(I92:I95)</f>
        <v>0</v>
      </c>
      <c r="J91" s="41"/>
      <c r="K91" s="41"/>
    </row>
    <row r="92" spans="1:11" s="9" customFormat="1" outlineLevel="1" x14ac:dyDescent="0.25">
      <c r="A92" s="416"/>
      <c r="B92" s="417"/>
      <c r="C92" s="417"/>
      <c r="D92" s="417"/>
      <c r="E92" s="351"/>
      <c r="F92" s="6" t="s">
        <v>8</v>
      </c>
      <c r="G92" s="10"/>
      <c r="H92" s="10"/>
      <c r="I92" s="10"/>
      <c r="J92" s="41"/>
      <c r="K92" s="41"/>
    </row>
    <row r="93" spans="1:11" s="9" customFormat="1" outlineLevel="1" x14ac:dyDescent="0.25">
      <c r="A93" s="416"/>
      <c r="B93" s="417"/>
      <c r="C93" s="417"/>
      <c r="D93" s="417"/>
      <c r="E93" s="351"/>
      <c r="F93" s="6" t="s">
        <v>9</v>
      </c>
      <c r="G93" s="10">
        <v>20700</v>
      </c>
      <c r="H93" s="10">
        <v>20700</v>
      </c>
      <c r="I93" s="10"/>
      <c r="J93" s="41"/>
      <c r="K93" s="41"/>
    </row>
    <row r="94" spans="1:11" s="9" customFormat="1" outlineLevel="1" x14ac:dyDescent="0.25">
      <c r="A94" s="416"/>
      <c r="B94" s="417"/>
      <c r="C94" s="417"/>
      <c r="D94" s="417"/>
      <c r="E94" s="351"/>
      <c r="F94" s="6" t="s">
        <v>10</v>
      </c>
      <c r="G94" s="10">
        <f>G93*0.1/99.9</f>
        <v>20.72072072072072</v>
      </c>
      <c r="H94" s="10">
        <f>H93*0.1/99.9</f>
        <v>20.72072072072072</v>
      </c>
      <c r="I94" s="10"/>
      <c r="J94" s="41"/>
      <c r="K94" s="41"/>
    </row>
    <row r="95" spans="1:11" s="9" customFormat="1" outlineLevel="1" x14ac:dyDescent="0.25">
      <c r="A95" s="416"/>
      <c r="B95" s="417"/>
      <c r="C95" s="417"/>
      <c r="D95" s="417"/>
      <c r="E95" s="351"/>
      <c r="F95" s="6" t="s">
        <v>11</v>
      </c>
      <c r="G95" s="10"/>
      <c r="H95" s="10"/>
      <c r="I95" s="10"/>
      <c r="J95" s="41"/>
      <c r="K95" s="41"/>
    </row>
    <row r="96" spans="1:11" s="9" customFormat="1" ht="21" customHeight="1" outlineLevel="1" x14ac:dyDescent="0.25">
      <c r="A96" s="416" t="s">
        <v>264</v>
      </c>
      <c r="B96" s="417" t="s">
        <v>107</v>
      </c>
      <c r="C96" s="417" t="s">
        <v>185</v>
      </c>
      <c r="D96" s="417" t="s">
        <v>29</v>
      </c>
      <c r="E96" s="351" t="s">
        <v>108</v>
      </c>
      <c r="F96" s="4" t="s">
        <v>7</v>
      </c>
      <c r="G96" s="5">
        <f>SUM(G97:G100)</f>
        <v>75592.419999999984</v>
      </c>
      <c r="H96" s="5">
        <f>SUM(H97:H100)</f>
        <v>79372.042528749997</v>
      </c>
      <c r="I96" s="5">
        <f>SUM(I97:I100)</f>
        <v>87507.68</v>
      </c>
    </row>
    <row r="97" spans="1:11" s="9" customFormat="1" ht="21" customHeight="1" outlineLevel="1" x14ac:dyDescent="0.25">
      <c r="A97" s="416"/>
      <c r="B97" s="417"/>
      <c r="C97" s="417"/>
      <c r="D97" s="417"/>
      <c r="E97" s="351"/>
      <c r="F97" s="6" t="s">
        <v>8</v>
      </c>
      <c r="G97" s="8"/>
      <c r="H97" s="8"/>
      <c r="I97" s="8"/>
    </row>
    <row r="98" spans="1:11" s="9" customFormat="1" ht="21" customHeight="1" outlineLevel="1" x14ac:dyDescent="0.25">
      <c r="A98" s="416"/>
      <c r="B98" s="417"/>
      <c r="C98" s="417"/>
      <c r="D98" s="417"/>
      <c r="E98" s="351"/>
      <c r="F98" s="6" t="s">
        <v>9</v>
      </c>
      <c r="G98" s="8">
        <f>36874.35+77436.14-38718.07</f>
        <v>75592.419999999984</v>
      </c>
      <c r="H98" s="8">
        <f>40653.97252875+38718.07</f>
        <v>79372.042528749997</v>
      </c>
      <c r="I98" s="8">
        <v>87507.68</v>
      </c>
    </row>
    <row r="99" spans="1:11" s="9" customFormat="1" ht="21" customHeight="1" outlineLevel="1" x14ac:dyDescent="0.25">
      <c r="A99" s="416"/>
      <c r="B99" s="417"/>
      <c r="C99" s="417"/>
      <c r="D99" s="417"/>
      <c r="E99" s="351"/>
      <c r="F99" s="6" t="s">
        <v>10</v>
      </c>
      <c r="G99" s="10"/>
      <c r="H99" s="10"/>
      <c r="I99" s="10"/>
    </row>
    <row r="100" spans="1:11" s="9" customFormat="1" ht="21" customHeight="1" outlineLevel="1" x14ac:dyDescent="0.25">
      <c r="A100" s="416"/>
      <c r="B100" s="417"/>
      <c r="C100" s="417"/>
      <c r="D100" s="417"/>
      <c r="E100" s="351"/>
      <c r="F100" s="6" t="s">
        <v>11</v>
      </c>
      <c r="G100" s="8"/>
      <c r="H100" s="8"/>
      <c r="I100" s="8"/>
    </row>
    <row r="101" spans="1:11" s="9" customFormat="1" ht="24.75" customHeight="1" outlineLevel="1" x14ac:dyDescent="0.25">
      <c r="A101" s="416" t="s">
        <v>265</v>
      </c>
      <c r="B101" s="417" t="s">
        <v>154</v>
      </c>
      <c r="C101" s="417" t="s">
        <v>175</v>
      </c>
      <c r="D101" s="417" t="s">
        <v>109</v>
      </c>
      <c r="E101" s="351" t="s">
        <v>50</v>
      </c>
      <c r="F101" s="4" t="s">
        <v>7</v>
      </c>
      <c r="G101" s="2">
        <f>SUM(G102:G105)</f>
        <v>26264.16</v>
      </c>
      <c r="H101" s="2">
        <f>SUM(H102:H105)</f>
        <v>26264.16</v>
      </c>
      <c r="I101" s="2">
        <f>SUM(I102:I105)</f>
        <v>0</v>
      </c>
    </row>
    <row r="102" spans="1:11" s="9" customFormat="1" ht="24.75" customHeight="1" outlineLevel="1" x14ac:dyDescent="0.25">
      <c r="A102" s="416"/>
      <c r="B102" s="417"/>
      <c r="C102" s="417"/>
      <c r="D102" s="417"/>
      <c r="E102" s="351"/>
      <c r="F102" s="6" t="s">
        <v>8</v>
      </c>
      <c r="G102" s="10"/>
      <c r="H102" s="10"/>
      <c r="I102" s="10"/>
    </row>
    <row r="103" spans="1:11" s="9" customFormat="1" ht="24.75" customHeight="1" outlineLevel="1" x14ac:dyDescent="0.25">
      <c r="A103" s="416"/>
      <c r="B103" s="417"/>
      <c r="C103" s="417"/>
      <c r="D103" s="417"/>
      <c r="E103" s="351"/>
      <c r="F103" s="6" t="s">
        <v>9</v>
      </c>
      <c r="G103" s="10">
        <v>26237.895840000001</v>
      </c>
      <c r="H103" s="10">
        <v>26237.895840000001</v>
      </c>
      <c r="I103" s="10"/>
    </row>
    <row r="104" spans="1:11" s="9" customFormat="1" ht="24.75" customHeight="1" outlineLevel="1" x14ac:dyDescent="0.25">
      <c r="A104" s="416"/>
      <c r="B104" s="417"/>
      <c r="C104" s="417"/>
      <c r="D104" s="417"/>
      <c r="E104" s="351"/>
      <c r="F104" s="6" t="s">
        <v>10</v>
      </c>
      <c r="G104" s="10">
        <v>26.26416</v>
      </c>
      <c r="H104" s="10">
        <v>26.26416</v>
      </c>
      <c r="I104" s="10"/>
    </row>
    <row r="105" spans="1:11" s="9" customFormat="1" ht="24.75" customHeight="1" outlineLevel="1" x14ac:dyDescent="0.25">
      <c r="A105" s="416"/>
      <c r="B105" s="417"/>
      <c r="C105" s="417"/>
      <c r="D105" s="417"/>
      <c r="E105" s="351"/>
      <c r="F105" s="6" t="s">
        <v>11</v>
      </c>
      <c r="G105" s="10"/>
      <c r="H105" s="10"/>
      <c r="I105" s="10"/>
    </row>
    <row r="106" spans="1:11" s="75" customFormat="1" ht="18.75" collapsed="1" x14ac:dyDescent="0.25">
      <c r="A106" s="381" t="s">
        <v>41</v>
      </c>
      <c r="B106" s="382" t="s">
        <v>42</v>
      </c>
      <c r="C106" s="381"/>
      <c r="D106" s="392"/>
      <c r="E106" s="392"/>
      <c r="F106" s="65" t="s">
        <v>7</v>
      </c>
      <c r="G106" s="66">
        <f t="shared" ref="G106:H106" si="25">SUM(G107:G110)</f>
        <v>174605.28644999999</v>
      </c>
      <c r="H106" s="66">
        <f t="shared" si="25"/>
        <v>118308.04783</v>
      </c>
      <c r="I106" s="66">
        <f>SUM(I107:I110)</f>
        <v>0</v>
      </c>
      <c r="J106" s="74" t="e">
        <f>#REF!/#REF!*100</f>
        <v>#REF!</v>
      </c>
      <c r="K106" s="74"/>
    </row>
    <row r="107" spans="1:11" s="75" customFormat="1" ht="18.75" x14ac:dyDescent="0.25">
      <c r="A107" s="381"/>
      <c r="B107" s="382"/>
      <c r="C107" s="381"/>
      <c r="D107" s="392"/>
      <c r="E107" s="392"/>
      <c r="F107" s="69" t="s">
        <v>8</v>
      </c>
      <c r="G107" s="73">
        <f>G112+G117</f>
        <v>0</v>
      </c>
      <c r="H107" s="73">
        <f t="shared" ref="H107:I107" si="26">H112+H117</f>
        <v>0</v>
      </c>
      <c r="I107" s="73">
        <f t="shared" si="26"/>
        <v>0</v>
      </c>
      <c r="J107" s="74"/>
      <c r="K107" s="74"/>
    </row>
    <row r="108" spans="1:11" s="75" customFormat="1" ht="18.75" x14ac:dyDescent="0.25">
      <c r="A108" s="381"/>
      <c r="B108" s="382"/>
      <c r="C108" s="381"/>
      <c r="D108" s="392"/>
      <c r="E108" s="392"/>
      <c r="F108" s="69" t="s">
        <v>9</v>
      </c>
      <c r="G108" s="73">
        <f>G113+G118</f>
        <v>0</v>
      </c>
      <c r="H108" s="73">
        <f t="shared" ref="H108:I108" si="27">H113+H118</f>
        <v>0</v>
      </c>
      <c r="I108" s="73">
        <f t="shared" si="27"/>
        <v>0</v>
      </c>
      <c r="J108" s="74"/>
      <c r="K108" s="74"/>
    </row>
    <row r="109" spans="1:11" s="75" customFormat="1" ht="18.75" x14ac:dyDescent="0.25">
      <c r="A109" s="381"/>
      <c r="B109" s="382"/>
      <c r="C109" s="381"/>
      <c r="D109" s="392"/>
      <c r="E109" s="392"/>
      <c r="F109" s="69" t="s">
        <v>10</v>
      </c>
      <c r="G109" s="73">
        <f>G114+G119</f>
        <v>0</v>
      </c>
      <c r="H109" s="73">
        <f t="shared" ref="H109:I109" si="28">H114+H119</f>
        <v>0</v>
      </c>
      <c r="I109" s="73">
        <f t="shared" si="28"/>
        <v>0</v>
      </c>
      <c r="J109" s="74"/>
      <c r="K109" s="74"/>
    </row>
    <row r="110" spans="1:11" s="75" customFormat="1" ht="18.75" x14ac:dyDescent="0.25">
      <c r="A110" s="381"/>
      <c r="B110" s="382"/>
      <c r="C110" s="381"/>
      <c r="D110" s="392"/>
      <c r="E110" s="392"/>
      <c r="F110" s="69" t="s">
        <v>11</v>
      </c>
      <c r="G110" s="73">
        <f>G115+G120</f>
        <v>174605.28644999999</v>
      </c>
      <c r="H110" s="73">
        <f t="shared" ref="H110:I110" si="29">H115+H120</f>
        <v>118308.04783</v>
      </c>
      <c r="I110" s="73">
        <f t="shared" si="29"/>
        <v>0</v>
      </c>
      <c r="J110" s="74"/>
      <c r="K110" s="74"/>
    </row>
    <row r="111" spans="1:11" s="23" customFormat="1" ht="18.75" outlineLevel="1" x14ac:dyDescent="0.25">
      <c r="A111" s="416" t="s">
        <v>103</v>
      </c>
      <c r="B111" s="417" t="s">
        <v>187</v>
      </c>
      <c r="C111" s="417" t="s">
        <v>45</v>
      </c>
      <c r="D111" s="417" t="s">
        <v>18</v>
      </c>
      <c r="E111" s="418" t="s">
        <v>19</v>
      </c>
      <c r="F111" s="4" t="s">
        <v>7</v>
      </c>
      <c r="G111" s="16">
        <f>SUM(G112:G115)</f>
        <v>5700</v>
      </c>
      <c r="H111" s="16">
        <f>SUM(H112:H115)</f>
        <v>0</v>
      </c>
      <c r="I111" s="16">
        <f>SUM(I112:I115)</f>
        <v>0</v>
      </c>
      <c r="J111" s="42"/>
      <c r="K111" s="42"/>
    </row>
    <row r="112" spans="1:11" s="23" customFormat="1" ht="18.75" outlineLevel="1" x14ac:dyDescent="0.25">
      <c r="A112" s="416"/>
      <c r="B112" s="417"/>
      <c r="C112" s="417"/>
      <c r="D112" s="417"/>
      <c r="E112" s="418"/>
      <c r="F112" s="6" t="s">
        <v>8</v>
      </c>
      <c r="G112" s="17"/>
      <c r="H112" s="17"/>
      <c r="I112" s="17"/>
      <c r="J112" s="42"/>
      <c r="K112" s="42"/>
    </row>
    <row r="113" spans="1:11" s="23" customFormat="1" ht="18.75" outlineLevel="1" x14ac:dyDescent="0.25">
      <c r="A113" s="416"/>
      <c r="B113" s="417"/>
      <c r="C113" s="417"/>
      <c r="D113" s="417"/>
      <c r="E113" s="418"/>
      <c r="F113" s="6" t="s">
        <v>9</v>
      </c>
      <c r="G113" s="17"/>
      <c r="H113" s="17"/>
      <c r="I113" s="17"/>
      <c r="J113" s="42"/>
      <c r="K113" s="42"/>
    </row>
    <row r="114" spans="1:11" s="23" customFormat="1" ht="18.75" outlineLevel="1" x14ac:dyDescent="0.25">
      <c r="A114" s="416"/>
      <c r="B114" s="417"/>
      <c r="C114" s="417"/>
      <c r="D114" s="417"/>
      <c r="E114" s="418"/>
      <c r="F114" s="6" t="s">
        <v>10</v>
      </c>
      <c r="G114" s="17"/>
      <c r="H114" s="17"/>
      <c r="I114" s="17"/>
      <c r="J114" s="42"/>
      <c r="K114" s="42"/>
    </row>
    <row r="115" spans="1:11" s="23" customFormat="1" ht="18.75" outlineLevel="1" x14ac:dyDescent="0.25">
      <c r="A115" s="416"/>
      <c r="B115" s="417"/>
      <c r="C115" s="417"/>
      <c r="D115" s="417"/>
      <c r="E115" s="418"/>
      <c r="F115" s="6" t="s">
        <v>11</v>
      </c>
      <c r="G115" s="7">
        <v>5700</v>
      </c>
      <c r="H115" s="7"/>
      <c r="I115" s="7"/>
      <c r="J115" s="42"/>
      <c r="K115" s="42"/>
    </row>
    <row r="116" spans="1:11" s="23" customFormat="1" ht="43.5" customHeight="1" outlineLevel="1" x14ac:dyDescent="0.25">
      <c r="A116" s="416" t="s">
        <v>104</v>
      </c>
      <c r="B116" s="417" t="s">
        <v>75</v>
      </c>
      <c r="C116" s="432" t="s">
        <v>145</v>
      </c>
      <c r="D116" s="417" t="s">
        <v>18</v>
      </c>
      <c r="E116" s="418" t="s">
        <v>16</v>
      </c>
      <c r="F116" s="38" t="s">
        <v>7</v>
      </c>
      <c r="G116" s="16">
        <f>SUM(G117:G120)</f>
        <v>168905.28644999999</v>
      </c>
      <c r="H116" s="16">
        <f>SUM(H117:H120)</f>
        <v>118308.04783</v>
      </c>
      <c r="I116" s="16">
        <f>SUM(I117:I120)</f>
        <v>0</v>
      </c>
      <c r="J116" s="42"/>
      <c r="K116" s="42"/>
    </row>
    <row r="117" spans="1:11" s="23" customFormat="1" ht="43.5" customHeight="1" outlineLevel="1" x14ac:dyDescent="0.25">
      <c r="A117" s="416"/>
      <c r="B117" s="417"/>
      <c r="C117" s="432"/>
      <c r="D117" s="417"/>
      <c r="E117" s="418"/>
      <c r="F117" s="37" t="s">
        <v>8</v>
      </c>
      <c r="G117" s="7"/>
      <c r="H117" s="7"/>
      <c r="I117" s="7"/>
      <c r="J117" s="42"/>
      <c r="K117" s="42"/>
    </row>
    <row r="118" spans="1:11" s="23" customFormat="1" ht="43.5" customHeight="1" outlineLevel="1" x14ac:dyDescent="0.25">
      <c r="A118" s="416"/>
      <c r="B118" s="417"/>
      <c r="C118" s="432"/>
      <c r="D118" s="417"/>
      <c r="E118" s="418"/>
      <c r="F118" s="37" t="s">
        <v>9</v>
      </c>
      <c r="G118" s="7"/>
      <c r="H118" s="7"/>
      <c r="I118" s="7"/>
      <c r="J118" s="42"/>
      <c r="K118" s="42"/>
    </row>
    <row r="119" spans="1:11" s="23" customFormat="1" ht="43.5" customHeight="1" outlineLevel="1" x14ac:dyDescent="0.25">
      <c r="A119" s="416"/>
      <c r="B119" s="417"/>
      <c r="C119" s="432"/>
      <c r="D119" s="417"/>
      <c r="E119" s="418"/>
      <c r="F119" s="37" t="s">
        <v>10</v>
      </c>
      <c r="G119" s="7"/>
      <c r="H119" s="7"/>
      <c r="I119" s="7"/>
      <c r="J119" s="42"/>
      <c r="K119" s="42"/>
    </row>
    <row r="120" spans="1:11" s="23" customFormat="1" ht="43.5" customHeight="1" outlineLevel="1" x14ac:dyDescent="0.25">
      <c r="A120" s="416"/>
      <c r="B120" s="417"/>
      <c r="C120" s="432"/>
      <c r="D120" s="417"/>
      <c r="E120" s="418"/>
      <c r="F120" s="37" t="s">
        <v>11</v>
      </c>
      <c r="G120" s="31">
        <f>19960.07985+165.80943+33053.22362+23301.97208+538.52586+13566.55534+8519.90391+159.05609+25980.99511+16316.27015+304.60462+16489.45674+10355.50908+193.32457</f>
        <v>168905.28644999999</v>
      </c>
      <c r="H120" s="31">
        <f>16334.78918+10258.37663+191.51123+14109.47007+8860.85865+165.42129+13197.24706+8287.9754+154.72627+12884.75544+8091.72819+151.06257+15624.58095+9812.36025+183.18465</f>
        <v>118308.04783</v>
      </c>
      <c r="I120" s="7"/>
      <c r="J120" s="42"/>
      <c r="K120" s="42"/>
    </row>
    <row r="121" spans="1:11" s="78" customFormat="1" collapsed="1" x14ac:dyDescent="0.25">
      <c r="A121" s="424" t="s">
        <v>46</v>
      </c>
      <c r="B121" s="382" t="s">
        <v>263</v>
      </c>
      <c r="C121" s="381"/>
      <c r="D121" s="381"/>
      <c r="E121" s="381"/>
      <c r="F121" s="65" t="s">
        <v>7</v>
      </c>
      <c r="G121" s="66">
        <f t="shared" ref="G121:H121" si="30">SUM(G123:G125)</f>
        <v>119626.2690909091</v>
      </c>
      <c r="H121" s="66">
        <f t="shared" si="30"/>
        <v>46440.889494949501</v>
      </c>
      <c r="I121" s="66">
        <f>SUM(I123:I125)</f>
        <v>0</v>
      </c>
      <c r="J121" s="76" t="e">
        <f>#REF!+#REF!</f>
        <v>#REF!</v>
      </c>
      <c r="K121" s="77" t="e">
        <f>J121/#REF!*100</f>
        <v>#REF!</v>
      </c>
    </row>
    <row r="122" spans="1:11" s="78" customFormat="1" x14ac:dyDescent="0.25">
      <c r="A122" s="424"/>
      <c r="B122" s="382"/>
      <c r="C122" s="381"/>
      <c r="D122" s="381"/>
      <c r="E122" s="381"/>
      <c r="F122" s="69" t="s">
        <v>8</v>
      </c>
      <c r="G122" s="73">
        <f>G127+G132+G137+G142</f>
        <v>0</v>
      </c>
      <c r="H122" s="73">
        <f t="shared" ref="H122:I122" si="31">H127+H132+H137+H142</f>
        <v>0</v>
      </c>
      <c r="I122" s="73">
        <f t="shared" si="31"/>
        <v>0</v>
      </c>
      <c r="J122" s="77"/>
      <c r="K122" s="77"/>
    </row>
    <row r="123" spans="1:11" s="78" customFormat="1" x14ac:dyDescent="0.25">
      <c r="A123" s="424"/>
      <c r="B123" s="382"/>
      <c r="C123" s="381"/>
      <c r="D123" s="381"/>
      <c r="E123" s="381"/>
      <c r="F123" s="69" t="s">
        <v>9</v>
      </c>
      <c r="G123" s="73">
        <f>G128+G133+G138+G143</f>
        <v>106551.51000000001</v>
      </c>
      <c r="H123" s="73">
        <f t="shared" ref="H123:I123" si="32">H128+H133+H138+H143</f>
        <v>38056.480000000003</v>
      </c>
      <c r="I123" s="73">
        <f t="shared" si="32"/>
        <v>0</v>
      </c>
      <c r="J123" s="77"/>
      <c r="K123" s="77"/>
    </row>
    <row r="124" spans="1:11" s="78" customFormat="1" x14ac:dyDescent="0.25">
      <c r="A124" s="424"/>
      <c r="B124" s="382"/>
      <c r="C124" s="381"/>
      <c r="D124" s="381"/>
      <c r="E124" s="381"/>
      <c r="F124" s="69" t="s">
        <v>10</v>
      </c>
      <c r="G124" s="73">
        <f>G129+G134+G139+G144</f>
        <v>13074.75909090909</v>
      </c>
      <c r="H124" s="73">
        <f t="shared" ref="H124:I124" si="33">H129+H134+H139+H144</f>
        <v>8384.4094949494956</v>
      </c>
      <c r="I124" s="73">
        <f t="shared" si="33"/>
        <v>0</v>
      </c>
      <c r="J124" s="77"/>
      <c r="K124" s="77"/>
    </row>
    <row r="125" spans="1:11" s="78" customFormat="1" x14ac:dyDescent="0.25">
      <c r="A125" s="424"/>
      <c r="B125" s="382"/>
      <c r="C125" s="381"/>
      <c r="D125" s="381"/>
      <c r="E125" s="381"/>
      <c r="F125" s="69" t="s">
        <v>11</v>
      </c>
      <c r="G125" s="73">
        <f>G130+G135+G140+G145</f>
        <v>0</v>
      </c>
      <c r="H125" s="73">
        <f t="shared" ref="H125:I125" si="34">H130+H135+H140+H145</f>
        <v>0</v>
      </c>
      <c r="I125" s="73">
        <f t="shared" si="34"/>
        <v>0</v>
      </c>
      <c r="J125" s="77"/>
      <c r="K125" s="77"/>
    </row>
    <row r="126" spans="1:11" s="18" customFormat="1" outlineLevel="1" x14ac:dyDescent="0.25">
      <c r="A126" s="416" t="s">
        <v>106</v>
      </c>
      <c r="B126" s="417" t="s">
        <v>170</v>
      </c>
      <c r="C126" s="417" t="s">
        <v>190</v>
      </c>
      <c r="D126" s="417" t="s">
        <v>48</v>
      </c>
      <c r="E126" s="418" t="s">
        <v>50</v>
      </c>
      <c r="F126" s="4" t="s">
        <v>7</v>
      </c>
      <c r="G126" s="2">
        <f>SUM(G127:G130)</f>
        <v>56277.909090909088</v>
      </c>
      <c r="H126" s="2">
        <f>SUM(H127:H130)</f>
        <v>28138.949494949495</v>
      </c>
      <c r="I126" s="17"/>
      <c r="J126" s="44"/>
      <c r="K126" s="44"/>
    </row>
    <row r="127" spans="1:11" s="18" customFormat="1" outlineLevel="1" x14ac:dyDescent="0.25">
      <c r="A127" s="416"/>
      <c r="B127" s="417"/>
      <c r="C127" s="417"/>
      <c r="D127" s="417"/>
      <c r="E127" s="418"/>
      <c r="F127" s="6" t="s">
        <v>8</v>
      </c>
      <c r="G127" s="17"/>
      <c r="H127" s="17"/>
      <c r="I127" s="17"/>
      <c r="J127" s="44"/>
      <c r="K127" s="44"/>
    </row>
    <row r="128" spans="1:11" s="18" customFormat="1" outlineLevel="1" x14ac:dyDescent="0.25">
      <c r="A128" s="416"/>
      <c r="B128" s="417"/>
      <c r="C128" s="417"/>
      <c r="D128" s="417"/>
      <c r="E128" s="418"/>
      <c r="F128" s="6" t="s">
        <v>9</v>
      </c>
      <c r="G128" s="17">
        <v>55715.13</v>
      </c>
      <c r="H128" s="17">
        <v>27857.56</v>
      </c>
      <c r="I128" s="17"/>
      <c r="J128" s="44"/>
      <c r="K128" s="44"/>
    </row>
    <row r="129" spans="1:11" s="18" customFormat="1" outlineLevel="1" x14ac:dyDescent="0.25">
      <c r="A129" s="416"/>
      <c r="B129" s="417"/>
      <c r="C129" s="417"/>
      <c r="D129" s="417"/>
      <c r="E129" s="418"/>
      <c r="F129" s="6" t="s">
        <v>10</v>
      </c>
      <c r="G129" s="17">
        <v>562.77909090909088</v>
      </c>
      <c r="H129" s="17">
        <v>281.38949494949497</v>
      </c>
      <c r="I129" s="17"/>
      <c r="J129" s="44"/>
      <c r="K129" s="44"/>
    </row>
    <row r="130" spans="1:11" s="18" customFormat="1" outlineLevel="1" x14ac:dyDescent="0.25">
      <c r="A130" s="416"/>
      <c r="B130" s="417"/>
      <c r="C130" s="417"/>
      <c r="D130" s="417"/>
      <c r="E130" s="418"/>
      <c r="F130" s="6" t="s">
        <v>11</v>
      </c>
      <c r="G130" s="17"/>
      <c r="H130" s="17"/>
      <c r="I130" s="17"/>
      <c r="J130" s="44"/>
      <c r="K130" s="44"/>
    </row>
    <row r="131" spans="1:11" s="9" customFormat="1" ht="33.75" customHeight="1" outlineLevel="1" x14ac:dyDescent="0.25">
      <c r="A131" s="416" t="s">
        <v>266</v>
      </c>
      <c r="B131" s="417" t="s">
        <v>110</v>
      </c>
      <c r="C131" s="417" t="s">
        <v>195</v>
      </c>
      <c r="D131" s="417" t="s">
        <v>48</v>
      </c>
      <c r="E131" s="418" t="s">
        <v>39</v>
      </c>
      <c r="F131" s="4" t="s">
        <v>7</v>
      </c>
      <c r="G131" s="2">
        <f t="shared" ref="G131:H131" si="35">SUM(G132:G135)</f>
        <v>15150</v>
      </c>
      <c r="H131" s="2">
        <f t="shared" si="35"/>
        <v>0</v>
      </c>
      <c r="I131" s="2">
        <f>SUM(I132:I135)</f>
        <v>0</v>
      </c>
    </row>
    <row r="132" spans="1:11" s="9" customFormat="1" ht="33.75" customHeight="1" outlineLevel="1" x14ac:dyDescent="0.25">
      <c r="A132" s="416"/>
      <c r="B132" s="417"/>
      <c r="C132" s="417"/>
      <c r="D132" s="417"/>
      <c r="E132" s="418"/>
      <c r="F132" s="6" t="s">
        <v>8</v>
      </c>
      <c r="G132" s="7"/>
      <c r="H132" s="7"/>
      <c r="I132" s="7"/>
    </row>
    <row r="133" spans="1:11" s="9" customFormat="1" ht="33.75" customHeight="1" outlineLevel="1" x14ac:dyDescent="0.25">
      <c r="A133" s="416"/>
      <c r="B133" s="417"/>
      <c r="C133" s="417"/>
      <c r="D133" s="417"/>
      <c r="E133" s="418"/>
      <c r="F133" s="6" t="s">
        <v>9</v>
      </c>
      <c r="G133" s="7">
        <v>15000</v>
      </c>
      <c r="H133" s="7"/>
      <c r="I133" s="7"/>
    </row>
    <row r="134" spans="1:11" s="9" customFormat="1" ht="33.75" customHeight="1" outlineLevel="1" x14ac:dyDescent="0.25">
      <c r="A134" s="416"/>
      <c r="B134" s="417"/>
      <c r="C134" s="417"/>
      <c r="D134" s="417"/>
      <c r="E134" s="418"/>
      <c r="F134" s="6" t="s">
        <v>10</v>
      </c>
      <c r="G134" s="7">
        <v>150</v>
      </c>
      <c r="H134" s="7"/>
      <c r="I134" s="7"/>
    </row>
    <row r="135" spans="1:11" s="9" customFormat="1" ht="33.75" customHeight="1" outlineLevel="1" x14ac:dyDescent="0.25">
      <c r="A135" s="416"/>
      <c r="B135" s="417"/>
      <c r="C135" s="417"/>
      <c r="D135" s="417"/>
      <c r="E135" s="418"/>
      <c r="F135" s="6" t="s">
        <v>11</v>
      </c>
      <c r="G135" s="7"/>
      <c r="H135" s="7"/>
      <c r="I135" s="7"/>
    </row>
    <row r="136" spans="1:11" s="9" customFormat="1" outlineLevel="1" x14ac:dyDescent="0.25">
      <c r="A136" s="416" t="s">
        <v>267</v>
      </c>
      <c r="B136" s="417" t="s">
        <v>202</v>
      </c>
      <c r="C136" s="417" t="s">
        <v>196</v>
      </c>
      <c r="D136" s="417" t="s">
        <v>49</v>
      </c>
      <c r="E136" s="418" t="s">
        <v>63</v>
      </c>
      <c r="F136" s="4" t="s">
        <v>7</v>
      </c>
      <c r="G136" s="2">
        <f t="shared" ref="G136:H136" si="36">SUM(G137:G140)</f>
        <v>12000</v>
      </c>
      <c r="H136" s="2">
        <f t="shared" si="36"/>
        <v>8000</v>
      </c>
      <c r="I136" s="16">
        <f>SUM(I137:I140)</f>
        <v>0</v>
      </c>
    </row>
    <row r="137" spans="1:11" s="9" customFormat="1" outlineLevel="1" x14ac:dyDescent="0.25">
      <c r="A137" s="416"/>
      <c r="B137" s="417"/>
      <c r="C137" s="421"/>
      <c r="D137" s="417"/>
      <c r="E137" s="418"/>
      <c r="F137" s="6" t="s">
        <v>8</v>
      </c>
      <c r="G137" s="7"/>
      <c r="H137" s="7"/>
      <c r="I137" s="17"/>
    </row>
    <row r="138" spans="1:11" s="9" customFormat="1" outlineLevel="1" x14ac:dyDescent="0.25">
      <c r="A138" s="416"/>
      <c r="B138" s="417"/>
      <c r="C138" s="421"/>
      <c r="D138" s="417"/>
      <c r="E138" s="418"/>
      <c r="F138" s="6" t="s">
        <v>9</v>
      </c>
      <c r="G138" s="17"/>
      <c r="H138" s="17"/>
      <c r="I138" s="17"/>
    </row>
    <row r="139" spans="1:11" s="9" customFormat="1" ht="82.5" outlineLevel="1" x14ac:dyDescent="0.25">
      <c r="A139" s="416"/>
      <c r="B139" s="417"/>
      <c r="C139" s="421"/>
      <c r="D139" s="417"/>
      <c r="E139" s="418"/>
      <c r="F139" s="6" t="s">
        <v>181</v>
      </c>
      <c r="G139" s="17">
        <v>12000</v>
      </c>
      <c r="H139" s="17">
        <v>8000</v>
      </c>
      <c r="I139" s="17"/>
    </row>
    <row r="140" spans="1:11" s="9" customFormat="1" outlineLevel="1" x14ac:dyDescent="0.25">
      <c r="A140" s="416"/>
      <c r="B140" s="417"/>
      <c r="C140" s="421"/>
      <c r="D140" s="417"/>
      <c r="E140" s="418"/>
      <c r="F140" s="6" t="s">
        <v>11</v>
      </c>
      <c r="G140" s="17"/>
      <c r="H140" s="17"/>
      <c r="I140" s="17"/>
    </row>
    <row r="141" spans="1:11" s="18" customFormat="1" ht="31.5" customHeight="1" outlineLevel="1" x14ac:dyDescent="0.25">
      <c r="A141" s="416" t="s">
        <v>268</v>
      </c>
      <c r="B141" s="417" t="s">
        <v>76</v>
      </c>
      <c r="C141" s="417" t="s">
        <v>176</v>
      </c>
      <c r="D141" s="417" t="s">
        <v>48</v>
      </c>
      <c r="E141" s="418" t="s">
        <v>16</v>
      </c>
      <c r="F141" s="4" t="s">
        <v>7</v>
      </c>
      <c r="G141" s="2">
        <f>SUM(G142:G145)</f>
        <v>36198.36</v>
      </c>
      <c r="H141" s="2">
        <f>SUM(H142:H145)</f>
        <v>10301.94</v>
      </c>
      <c r="I141" s="17"/>
    </row>
    <row r="142" spans="1:11" s="18" customFormat="1" ht="24.75" customHeight="1" outlineLevel="1" x14ac:dyDescent="0.25">
      <c r="A142" s="416"/>
      <c r="B142" s="417"/>
      <c r="C142" s="417"/>
      <c r="D142" s="417"/>
      <c r="E142" s="418"/>
      <c r="F142" s="6" t="s">
        <v>8</v>
      </c>
      <c r="G142" s="17"/>
      <c r="H142" s="17"/>
      <c r="I142" s="17"/>
    </row>
    <row r="143" spans="1:11" s="18" customFormat="1" ht="25.5" customHeight="1" outlineLevel="1" x14ac:dyDescent="0.25">
      <c r="A143" s="416"/>
      <c r="B143" s="417"/>
      <c r="C143" s="417"/>
      <c r="D143" s="417"/>
      <c r="E143" s="418"/>
      <c r="F143" s="6" t="s">
        <v>9</v>
      </c>
      <c r="G143" s="17">
        <v>35836.379999999997</v>
      </c>
      <c r="H143" s="17">
        <v>10198.92</v>
      </c>
      <c r="I143" s="17"/>
    </row>
    <row r="144" spans="1:11" s="18" customFormat="1" ht="31.5" customHeight="1" outlineLevel="1" x14ac:dyDescent="0.25">
      <c r="A144" s="416"/>
      <c r="B144" s="417"/>
      <c r="C144" s="417"/>
      <c r="D144" s="417"/>
      <c r="E144" s="418"/>
      <c r="F144" s="6" t="s">
        <v>10</v>
      </c>
      <c r="G144" s="17">
        <v>361.98</v>
      </c>
      <c r="H144" s="17">
        <v>103.02</v>
      </c>
      <c r="I144" s="17"/>
    </row>
    <row r="145" spans="1:11" s="18" customFormat="1" ht="30" customHeight="1" outlineLevel="1" x14ac:dyDescent="0.25">
      <c r="A145" s="416"/>
      <c r="B145" s="417"/>
      <c r="C145" s="417"/>
      <c r="D145" s="417"/>
      <c r="E145" s="418"/>
      <c r="F145" s="6" t="s">
        <v>11</v>
      </c>
      <c r="G145" s="17"/>
      <c r="H145" s="17"/>
      <c r="I145" s="17"/>
    </row>
    <row r="146" spans="1:11" s="93" customFormat="1" x14ac:dyDescent="0.25">
      <c r="A146" s="419" t="s">
        <v>51</v>
      </c>
      <c r="B146" s="420" t="s">
        <v>52</v>
      </c>
      <c r="C146" s="419"/>
      <c r="D146" s="408"/>
      <c r="E146" s="408"/>
      <c r="F146" s="90" t="s">
        <v>7</v>
      </c>
      <c r="G146" s="91">
        <f t="shared" ref="G146:H146" si="37">SUM(G147:G150)</f>
        <v>646835.05000000005</v>
      </c>
      <c r="H146" s="91">
        <f t="shared" si="37"/>
        <v>616051</v>
      </c>
      <c r="I146" s="91">
        <f>SUM(I147:I150)</f>
        <v>1169506.05</v>
      </c>
      <c r="J146" s="185" t="e">
        <f>#REF!+#REF!</f>
        <v>#REF!</v>
      </c>
      <c r="K146" s="92" t="e">
        <f>J146/#REF!*100</f>
        <v>#REF!</v>
      </c>
    </row>
    <row r="147" spans="1:11" s="93" customFormat="1" x14ac:dyDescent="0.25">
      <c r="A147" s="419"/>
      <c r="B147" s="420"/>
      <c r="C147" s="419"/>
      <c r="D147" s="408"/>
      <c r="E147" s="408"/>
      <c r="F147" s="94" t="s">
        <v>8</v>
      </c>
      <c r="G147" s="91">
        <f t="shared" ref="G147:I150" si="38">SUM(G152,G217,G227)</f>
        <v>0</v>
      </c>
      <c r="H147" s="91">
        <f t="shared" si="38"/>
        <v>0</v>
      </c>
      <c r="I147" s="91">
        <f t="shared" si="38"/>
        <v>0</v>
      </c>
      <c r="J147" s="92"/>
      <c r="K147" s="92"/>
    </row>
    <row r="148" spans="1:11" s="93" customFormat="1" x14ac:dyDescent="0.25">
      <c r="A148" s="419"/>
      <c r="B148" s="420"/>
      <c r="C148" s="419"/>
      <c r="D148" s="408"/>
      <c r="E148" s="408"/>
      <c r="F148" s="94" t="s">
        <v>9</v>
      </c>
      <c r="G148" s="91">
        <f t="shared" si="38"/>
        <v>597900</v>
      </c>
      <c r="H148" s="91">
        <f t="shared" si="38"/>
        <v>518330</v>
      </c>
      <c r="I148" s="91">
        <f t="shared" si="38"/>
        <v>1164506.05</v>
      </c>
      <c r="J148" s="92"/>
      <c r="K148" s="92"/>
    </row>
    <row r="149" spans="1:11" s="93" customFormat="1" x14ac:dyDescent="0.25">
      <c r="A149" s="419"/>
      <c r="B149" s="420"/>
      <c r="C149" s="419"/>
      <c r="D149" s="408"/>
      <c r="E149" s="408"/>
      <c r="F149" s="94" t="s">
        <v>10</v>
      </c>
      <c r="G149" s="91">
        <f t="shared" si="38"/>
        <v>6935.05</v>
      </c>
      <c r="H149" s="91">
        <f t="shared" si="38"/>
        <v>45721</v>
      </c>
      <c r="I149" s="91">
        <f t="shared" si="38"/>
        <v>5000</v>
      </c>
      <c r="J149" s="92"/>
      <c r="K149" s="92"/>
    </row>
    <row r="150" spans="1:11" s="93" customFormat="1" x14ac:dyDescent="0.25">
      <c r="A150" s="419"/>
      <c r="B150" s="420"/>
      <c r="C150" s="419"/>
      <c r="D150" s="408"/>
      <c r="E150" s="408"/>
      <c r="F150" s="94" t="s">
        <v>11</v>
      </c>
      <c r="G150" s="91">
        <f t="shared" si="38"/>
        <v>42000</v>
      </c>
      <c r="H150" s="91">
        <f t="shared" si="38"/>
        <v>52000</v>
      </c>
      <c r="I150" s="91">
        <f t="shared" si="38"/>
        <v>0</v>
      </c>
      <c r="J150" s="92"/>
      <c r="K150" s="92"/>
    </row>
    <row r="151" spans="1:11" s="72" customFormat="1" x14ac:dyDescent="0.25">
      <c r="A151" s="386" t="s">
        <v>43</v>
      </c>
      <c r="B151" s="382" t="s">
        <v>53</v>
      </c>
      <c r="C151" s="381"/>
      <c r="D151" s="381"/>
      <c r="E151" s="381"/>
      <c r="F151" s="65" t="s">
        <v>7</v>
      </c>
      <c r="G151" s="66">
        <f t="shared" ref="G151:H151" si="39">SUM(G152:G155)</f>
        <v>494185.05</v>
      </c>
      <c r="H151" s="66">
        <f t="shared" si="39"/>
        <v>281500</v>
      </c>
      <c r="I151" s="66">
        <f>SUM(I152:I155)</f>
        <v>1069256.05</v>
      </c>
      <c r="J151" s="71"/>
      <c r="K151" s="71"/>
    </row>
    <row r="152" spans="1:11" s="72" customFormat="1" x14ac:dyDescent="0.25">
      <c r="A152" s="386"/>
      <c r="B152" s="382"/>
      <c r="C152" s="381"/>
      <c r="D152" s="381"/>
      <c r="E152" s="381"/>
      <c r="F152" s="69" t="s">
        <v>8</v>
      </c>
      <c r="G152" s="66">
        <f>G157+G167+G172+G162+G177+G182+G187+G192+G197+G202+G207+G212</f>
        <v>0</v>
      </c>
      <c r="H152" s="66">
        <f t="shared" ref="H152:I152" si="40">H157+H167+H172+H162+H177+H182+H187+H192+H197+H202+H207+H212</f>
        <v>0</v>
      </c>
      <c r="I152" s="66">
        <f t="shared" si="40"/>
        <v>0</v>
      </c>
      <c r="J152" s="71"/>
      <c r="K152" s="71"/>
    </row>
    <row r="153" spans="1:11" s="72" customFormat="1" x14ac:dyDescent="0.25">
      <c r="A153" s="386"/>
      <c r="B153" s="382"/>
      <c r="C153" s="381"/>
      <c r="D153" s="381"/>
      <c r="E153" s="381"/>
      <c r="F153" s="69" t="s">
        <v>9</v>
      </c>
      <c r="G153" s="66">
        <f>G158+G168+G173+G163+G178+G183+G188+G193+G198+G203+G208+G213</f>
        <v>492400</v>
      </c>
      <c r="H153" s="66">
        <f t="shared" ref="H153:I153" si="41">H158+H168+H173+H163+H178+H183+H188+H193+H198+H203+H208+H213</f>
        <v>276500</v>
      </c>
      <c r="I153" s="66">
        <f t="shared" si="41"/>
        <v>1069256.05</v>
      </c>
      <c r="J153" s="71"/>
      <c r="K153" s="71"/>
    </row>
    <row r="154" spans="1:11" s="72" customFormat="1" x14ac:dyDescent="0.25">
      <c r="A154" s="386"/>
      <c r="B154" s="382"/>
      <c r="C154" s="381"/>
      <c r="D154" s="381"/>
      <c r="E154" s="381"/>
      <c r="F154" s="69" t="s">
        <v>10</v>
      </c>
      <c r="G154" s="66">
        <f>G159+G169+G174+G164+G179+G184+G189+G194+G199+G204+G209+G214</f>
        <v>1785.05</v>
      </c>
      <c r="H154" s="66">
        <f t="shared" ref="H154:I154" si="42">H159+H169+H174+H164+H179+H184+H189+H194+H199+H204+H209+H214</f>
        <v>5000</v>
      </c>
      <c r="I154" s="66">
        <f t="shared" si="42"/>
        <v>0</v>
      </c>
      <c r="J154" s="71"/>
      <c r="K154" s="71"/>
    </row>
    <row r="155" spans="1:11" s="72" customFormat="1" x14ac:dyDescent="0.25">
      <c r="A155" s="386"/>
      <c r="B155" s="382"/>
      <c r="C155" s="381"/>
      <c r="D155" s="381"/>
      <c r="E155" s="381"/>
      <c r="F155" s="69" t="s">
        <v>11</v>
      </c>
      <c r="G155" s="66">
        <f>G160+G170+G175+G165+G180+G185+G190+G195+G200+G205+G210+G215</f>
        <v>0</v>
      </c>
      <c r="H155" s="66">
        <f t="shared" ref="H155:I155" si="43">H160+H170+H175+H165+H180+H185+H190+H195+H200+H205+H210+H215</f>
        <v>0</v>
      </c>
      <c r="I155" s="66">
        <f t="shared" si="43"/>
        <v>0</v>
      </c>
      <c r="J155" s="71"/>
      <c r="K155" s="71"/>
    </row>
    <row r="156" spans="1:11" s="9" customFormat="1" outlineLevel="1" x14ac:dyDescent="0.25">
      <c r="A156" s="416" t="s">
        <v>158</v>
      </c>
      <c r="B156" s="417" t="s">
        <v>151</v>
      </c>
      <c r="C156" s="417" t="s">
        <v>54</v>
      </c>
      <c r="D156" s="417" t="s">
        <v>77</v>
      </c>
      <c r="E156" s="351" t="s">
        <v>63</v>
      </c>
      <c r="F156" s="4" t="s">
        <v>7</v>
      </c>
      <c r="G156" s="2">
        <f>SUM(G157:G160)</f>
        <v>207500</v>
      </c>
      <c r="H156" s="2">
        <f>SUM(H157:H160)</f>
        <v>207500</v>
      </c>
      <c r="I156" s="2">
        <f>SUM(I157:I160)</f>
        <v>0</v>
      </c>
      <c r="J156" s="41"/>
      <c r="K156" s="41"/>
    </row>
    <row r="157" spans="1:11" s="9" customFormat="1" outlineLevel="1" x14ac:dyDescent="0.25">
      <c r="A157" s="416"/>
      <c r="B157" s="417"/>
      <c r="C157" s="417"/>
      <c r="D157" s="417"/>
      <c r="E157" s="351"/>
      <c r="F157" s="6" t="s">
        <v>8</v>
      </c>
      <c r="G157" s="7"/>
      <c r="H157" s="7"/>
      <c r="I157" s="7"/>
      <c r="J157" s="41"/>
      <c r="K157" s="41"/>
    </row>
    <row r="158" spans="1:11" s="9" customFormat="1" outlineLevel="1" x14ac:dyDescent="0.25">
      <c r="A158" s="416"/>
      <c r="B158" s="417"/>
      <c r="C158" s="417"/>
      <c r="D158" s="417"/>
      <c r="E158" s="351"/>
      <c r="F158" s="6" t="s">
        <v>9</v>
      </c>
      <c r="G158" s="7">
        <v>207500</v>
      </c>
      <c r="H158" s="7">
        <v>207500</v>
      </c>
      <c r="I158" s="7"/>
      <c r="J158" s="41"/>
      <c r="K158" s="41"/>
    </row>
    <row r="159" spans="1:11" s="9" customFormat="1" outlineLevel="1" x14ac:dyDescent="0.25">
      <c r="A159" s="416"/>
      <c r="B159" s="417"/>
      <c r="C159" s="417"/>
      <c r="D159" s="417"/>
      <c r="E159" s="351"/>
      <c r="F159" s="6" t="s">
        <v>10</v>
      </c>
      <c r="G159" s="7"/>
      <c r="H159" s="7"/>
      <c r="I159" s="7"/>
      <c r="J159" s="41"/>
      <c r="K159" s="41"/>
    </row>
    <row r="160" spans="1:11" s="9" customFormat="1" outlineLevel="1" x14ac:dyDescent="0.25">
      <c r="A160" s="416"/>
      <c r="B160" s="417"/>
      <c r="C160" s="417"/>
      <c r="D160" s="417"/>
      <c r="E160" s="351"/>
      <c r="F160" s="6" t="s">
        <v>11</v>
      </c>
      <c r="G160" s="7"/>
      <c r="H160" s="7"/>
      <c r="I160" s="7"/>
      <c r="J160" s="41"/>
      <c r="K160" s="41"/>
    </row>
    <row r="161" spans="1:11" s="9" customFormat="1" outlineLevel="1" x14ac:dyDescent="0.25">
      <c r="A161" s="416" t="s">
        <v>86</v>
      </c>
      <c r="B161" s="417" t="s">
        <v>169</v>
      </c>
      <c r="C161" s="417" t="s">
        <v>71</v>
      </c>
      <c r="D161" s="417" t="s">
        <v>17</v>
      </c>
      <c r="E161" s="351" t="s">
        <v>35</v>
      </c>
      <c r="F161" s="4" t="s">
        <v>7</v>
      </c>
      <c r="G161" s="2">
        <f t="shared" ref="G161:H161" si="44">SUM(G162:G165)</f>
        <v>24000</v>
      </c>
      <c r="H161" s="2">
        <f t="shared" si="44"/>
        <v>30000</v>
      </c>
      <c r="I161" s="2">
        <f>SUM(I162:I165)</f>
        <v>30600</v>
      </c>
      <c r="J161" s="41"/>
      <c r="K161" s="41"/>
    </row>
    <row r="162" spans="1:11" s="9" customFormat="1" outlineLevel="1" x14ac:dyDescent="0.25">
      <c r="A162" s="416"/>
      <c r="B162" s="417"/>
      <c r="C162" s="417"/>
      <c r="D162" s="417"/>
      <c r="E162" s="351"/>
      <c r="F162" s="6" t="s">
        <v>8</v>
      </c>
      <c r="G162" s="10"/>
      <c r="H162" s="10"/>
      <c r="I162" s="10"/>
      <c r="J162" s="41"/>
      <c r="K162" s="41"/>
    </row>
    <row r="163" spans="1:11" s="9" customFormat="1" outlineLevel="1" x14ac:dyDescent="0.25">
      <c r="A163" s="416"/>
      <c r="B163" s="417"/>
      <c r="C163" s="417"/>
      <c r="D163" s="417"/>
      <c r="E163" s="351"/>
      <c r="F163" s="6" t="s">
        <v>9</v>
      </c>
      <c r="G163" s="10">
        <v>24000</v>
      </c>
      <c r="H163" s="10">
        <v>30000</v>
      </c>
      <c r="I163" s="10">
        <v>30600</v>
      </c>
      <c r="J163" s="41"/>
      <c r="K163" s="41"/>
    </row>
    <row r="164" spans="1:11" s="9" customFormat="1" outlineLevel="1" x14ac:dyDescent="0.25">
      <c r="A164" s="416"/>
      <c r="B164" s="417"/>
      <c r="C164" s="417"/>
      <c r="D164" s="417"/>
      <c r="E164" s="351"/>
      <c r="F164" s="6" t="s">
        <v>10</v>
      </c>
      <c r="G164" s="10"/>
      <c r="H164" s="10"/>
      <c r="I164" s="10"/>
      <c r="J164" s="41"/>
      <c r="K164" s="41"/>
    </row>
    <row r="165" spans="1:11" s="9" customFormat="1" outlineLevel="1" x14ac:dyDescent="0.25">
      <c r="A165" s="416"/>
      <c r="B165" s="417"/>
      <c r="C165" s="417"/>
      <c r="D165" s="417"/>
      <c r="E165" s="351"/>
      <c r="F165" s="6" t="s">
        <v>11</v>
      </c>
      <c r="G165" s="10"/>
      <c r="H165" s="10"/>
      <c r="I165" s="10"/>
      <c r="J165" s="41"/>
      <c r="K165" s="41"/>
    </row>
    <row r="166" spans="1:11" s="9" customFormat="1" outlineLevel="1" x14ac:dyDescent="0.25">
      <c r="A166" s="416" t="s">
        <v>159</v>
      </c>
      <c r="B166" s="417" t="s">
        <v>152</v>
      </c>
      <c r="C166" s="417" t="s">
        <v>72</v>
      </c>
      <c r="D166" s="417" t="s">
        <v>77</v>
      </c>
      <c r="E166" s="351" t="s">
        <v>39</v>
      </c>
      <c r="F166" s="4" t="s">
        <v>7</v>
      </c>
      <c r="G166" s="2">
        <f>SUM(G167:G170)</f>
        <v>125900</v>
      </c>
      <c r="H166" s="2">
        <f>SUM(H167:H170)</f>
        <v>0</v>
      </c>
      <c r="I166" s="2">
        <f>SUM(I167:I170)</f>
        <v>0</v>
      </c>
      <c r="J166" s="41"/>
      <c r="K166" s="41"/>
    </row>
    <row r="167" spans="1:11" s="9" customFormat="1" outlineLevel="1" x14ac:dyDescent="0.25">
      <c r="A167" s="416"/>
      <c r="B167" s="417"/>
      <c r="C167" s="417"/>
      <c r="D167" s="417"/>
      <c r="E167" s="351"/>
      <c r="F167" s="6" t="s">
        <v>8</v>
      </c>
      <c r="G167" s="10"/>
      <c r="H167" s="10"/>
      <c r="I167" s="10"/>
      <c r="J167" s="41"/>
      <c r="K167" s="41"/>
    </row>
    <row r="168" spans="1:11" s="9" customFormat="1" outlineLevel="1" x14ac:dyDescent="0.25">
      <c r="A168" s="416"/>
      <c r="B168" s="417"/>
      <c r="C168" s="417"/>
      <c r="D168" s="417"/>
      <c r="E168" s="351"/>
      <c r="F168" s="6" t="s">
        <v>9</v>
      </c>
      <c r="G168" s="10">
        <v>125900</v>
      </c>
      <c r="H168" s="10"/>
      <c r="I168" s="10"/>
      <c r="J168" s="41"/>
      <c r="K168" s="41"/>
    </row>
    <row r="169" spans="1:11" s="9" customFormat="1" outlineLevel="1" x14ac:dyDescent="0.25">
      <c r="A169" s="416"/>
      <c r="B169" s="417"/>
      <c r="C169" s="417"/>
      <c r="D169" s="417"/>
      <c r="E169" s="351"/>
      <c r="F169" s="6" t="s">
        <v>10</v>
      </c>
      <c r="G169" s="10"/>
      <c r="H169" s="10"/>
      <c r="I169" s="10"/>
      <c r="J169" s="41"/>
      <c r="K169" s="41"/>
    </row>
    <row r="170" spans="1:11" s="9" customFormat="1" outlineLevel="1" x14ac:dyDescent="0.25">
      <c r="A170" s="416"/>
      <c r="B170" s="417"/>
      <c r="C170" s="417"/>
      <c r="D170" s="417"/>
      <c r="E170" s="351"/>
      <c r="F170" s="6" t="s">
        <v>11</v>
      </c>
      <c r="G170" s="10"/>
      <c r="H170" s="10"/>
      <c r="I170" s="10"/>
      <c r="J170" s="41"/>
      <c r="K170" s="41"/>
    </row>
    <row r="171" spans="1:11" s="9" customFormat="1" outlineLevel="1" x14ac:dyDescent="0.25">
      <c r="A171" s="416" t="s">
        <v>160</v>
      </c>
      <c r="B171" s="417" t="s">
        <v>153</v>
      </c>
      <c r="C171" s="417" t="s">
        <v>73</v>
      </c>
      <c r="D171" s="417" t="s">
        <v>17</v>
      </c>
      <c r="E171" s="351" t="s">
        <v>19</v>
      </c>
      <c r="F171" s="4" t="s">
        <v>7</v>
      </c>
      <c r="G171" s="2">
        <f>SUM(G172:G175)</f>
        <v>35000</v>
      </c>
      <c r="H171" s="2">
        <f>SUM(H172:H175)</f>
        <v>0</v>
      </c>
      <c r="I171" s="2">
        <f>SUM(I172:I175)</f>
        <v>0</v>
      </c>
      <c r="J171" s="41"/>
      <c r="K171" s="41"/>
    </row>
    <row r="172" spans="1:11" s="9" customFormat="1" outlineLevel="1" x14ac:dyDescent="0.25">
      <c r="A172" s="416"/>
      <c r="B172" s="417"/>
      <c r="C172" s="417"/>
      <c r="D172" s="417"/>
      <c r="E172" s="351"/>
      <c r="F172" s="6" t="s">
        <v>8</v>
      </c>
      <c r="G172" s="10"/>
      <c r="H172" s="10"/>
      <c r="I172" s="10"/>
      <c r="J172" s="41"/>
      <c r="K172" s="41"/>
    </row>
    <row r="173" spans="1:11" s="9" customFormat="1" ht="19.5" customHeight="1" outlineLevel="1" x14ac:dyDescent="0.25">
      <c r="A173" s="416"/>
      <c r="B173" s="417"/>
      <c r="C173" s="417"/>
      <c r="D173" s="417"/>
      <c r="E173" s="351"/>
      <c r="F173" s="6" t="s">
        <v>9</v>
      </c>
      <c r="G173" s="32">
        <v>35000</v>
      </c>
      <c r="H173" s="10"/>
      <c r="I173" s="10"/>
      <c r="J173" s="41"/>
      <c r="K173" s="41"/>
    </row>
    <row r="174" spans="1:11" s="9" customFormat="1" outlineLevel="1" x14ac:dyDescent="0.25">
      <c r="A174" s="416"/>
      <c r="B174" s="417"/>
      <c r="C174" s="417"/>
      <c r="D174" s="417"/>
      <c r="E174" s="351"/>
      <c r="F174" s="6" t="s">
        <v>10</v>
      </c>
      <c r="G174" s="10"/>
      <c r="H174" s="10"/>
      <c r="I174" s="10"/>
      <c r="J174" s="41"/>
      <c r="K174" s="41"/>
    </row>
    <row r="175" spans="1:11" s="9" customFormat="1" ht="22.5" customHeight="1" outlineLevel="1" x14ac:dyDescent="0.25">
      <c r="A175" s="416"/>
      <c r="B175" s="417"/>
      <c r="C175" s="417"/>
      <c r="D175" s="417"/>
      <c r="E175" s="351"/>
      <c r="F175" s="6" t="s">
        <v>11</v>
      </c>
      <c r="G175" s="10"/>
      <c r="H175" s="10"/>
      <c r="I175" s="10"/>
      <c r="J175" s="41"/>
      <c r="K175" s="41"/>
    </row>
    <row r="176" spans="1:11" s="9" customFormat="1" outlineLevel="1" x14ac:dyDescent="0.25">
      <c r="A176" s="416" t="s">
        <v>269</v>
      </c>
      <c r="B176" s="417" t="s">
        <v>111</v>
      </c>
      <c r="C176" s="417" t="s">
        <v>112</v>
      </c>
      <c r="D176" s="417" t="s">
        <v>77</v>
      </c>
      <c r="E176" s="351" t="s">
        <v>39</v>
      </c>
      <c r="F176" s="4" t="s">
        <v>7</v>
      </c>
      <c r="G176" s="2">
        <f t="shared" ref="G176:H176" si="45">SUM(G177:G180)</f>
        <v>100000</v>
      </c>
      <c r="H176" s="2">
        <f t="shared" si="45"/>
        <v>0</v>
      </c>
      <c r="I176" s="2">
        <f>SUM(I177:I180)</f>
        <v>0</v>
      </c>
    </row>
    <row r="177" spans="1:9" s="9" customFormat="1" outlineLevel="1" x14ac:dyDescent="0.25">
      <c r="A177" s="416"/>
      <c r="B177" s="417"/>
      <c r="C177" s="417"/>
      <c r="D177" s="417"/>
      <c r="E177" s="351"/>
      <c r="F177" s="6" t="s">
        <v>8</v>
      </c>
      <c r="G177" s="7"/>
      <c r="H177" s="7"/>
      <c r="I177" s="7"/>
    </row>
    <row r="178" spans="1:9" s="9" customFormat="1" outlineLevel="1" x14ac:dyDescent="0.25">
      <c r="A178" s="416"/>
      <c r="B178" s="417"/>
      <c r="C178" s="417"/>
      <c r="D178" s="417"/>
      <c r="E178" s="351"/>
      <c r="F178" s="6" t="s">
        <v>9</v>
      </c>
      <c r="G178" s="7">
        <v>100000</v>
      </c>
      <c r="H178" s="7"/>
      <c r="I178" s="7"/>
    </row>
    <row r="179" spans="1:9" s="9" customFormat="1" outlineLevel="1" x14ac:dyDescent="0.25">
      <c r="A179" s="416"/>
      <c r="B179" s="417"/>
      <c r="C179" s="417"/>
      <c r="D179" s="417"/>
      <c r="E179" s="351"/>
      <c r="F179" s="6" t="s">
        <v>10</v>
      </c>
      <c r="G179" s="7"/>
      <c r="H179" s="7"/>
      <c r="I179" s="7"/>
    </row>
    <row r="180" spans="1:9" s="9" customFormat="1" outlineLevel="1" x14ac:dyDescent="0.25">
      <c r="A180" s="416"/>
      <c r="B180" s="417"/>
      <c r="C180" s="417"/>
      <c r="D180" s="417"/>
      <c r="E180" s="351"/>
      <c r="F180" s="6" t="s">
        <v>11</v>
      </c>
      <c r="G180" s="7"/>
      <c r="H180" s="7"/>
      <c r="I180" s="7"/>
    </row>
    <row r="181" spans="1:9" s="9" customFormat="1" outlineLevel="1" x14ac:dyDescent="0.25">
      <c r="A181" s="416" t="s">
        <v>270</v>
      </c>
      <c r="B181" s="417" t="s">
        <v>113</v>
      </c>
      <c r="C181" s="417" t="s">
        <v>114</v>
      </c>
      <c r="D181" s="417" t="s">
        <v>77</v>
      </c>
      <c r="E181" s="351" t="s">
        <v>115</v>
      </c>
      <c r="F181" s="4" t="s">
        <v>7</v>
      </c>
      <c r="G181" s="2">
        <f>SUM(G182:G185)</f>
        <v>0</v>
      </c>
      <c r="H181" s="2">
        <f>SUM(H182:H185)</f>
        <v>15000</v>
      </c>
      <c r="I181" s="2">
        <f>SUM(I182:I185)</f>
        <v>415000</v>
      </c>
    </row>
    <row r="182" spans="1:9" s="9" customFormat="1" outlineLevel="1" x14ac:dyDescent="0.25">
      <c r="A182" s="416"/>
      <c r="B182" s="417"/>
      <c r="C182" s="417"/>
      <c r="D182" s="417"/>
      <c r="E182" s="351"/>
      <c r="F182" s="6" t="s">
        <v>8</v>
      </c>
      <c r="G182" s="7"/>
      <c r="H182" s="7"/>
      <c r="I182" s="7"/>
    </row>
    <row r="183" spans="1:9" s="9" customFormat="1" outlineLevel="1" x14ac:dyDescent="0.25">
      <c r="A183" s="416"/>
      <c r="B183" s="417"/>
      <c r="C183" s="417"/>
      <c r="D183" s="417"/>
      <c r="E183" s="351"/>
      <c r="F183" s="6" t="s">
        <v>9</v>
      </c>
      <c r="G183" s="7"/>
      <c r="H183" s="7">
        <v>15000</v>
      </c>
      <c r="I183" s="7">
        <v>415000</v>
      </c>
    </row>
    <row r="184" spans="1:9" s="9" customFormat="1" outlineLevel="1" x14ac:dyDescent="0.25">
      <c r="A184" s="416"/>
      <c r="B184" s="417"/>
      <c r="C184" s="417"/>
      <c r="D184" s="417"/>
      <c r="E184" s="351"/>
      <c r="F184" s="6" t="s">
        <v>10</v>
      </c>
      <c r="G184" s="7"/>
      <c r="H184" s="7"/>
      <c r="I184" s="7"/>
    </row>
    <row r="185" spans="1:9" s="9" customFormat="1" outlineLevel="1" x14ac:dyDescent="0.25">
      <c r="A185" s="416"/>
      <c r="B185" s="417"/>
      <c r="C185" s="417"/>
      <c r="D185" s="417"/>
      <c r="E185" s="351"/>
      <c r="F185" s="6" t="s">
        <v>11</v>
      </c>
      <c r="G185" s="7"/>
      <c r="H185" s="7"/>
      <c r="I185" s="7"/>
    </row>
    <row r="186" spans="1:9" s="9" customFormat="1" outlineLevel="1" x14ac:dyDescent="0.25">
      <c r="A186" s="416" t="s">
        <v>271</v>
      </c>
      <c r="B186" s="417" t="s">
        <v>116</v>
      </c>
      <c r="C186" s="417" t="s">
        <v>114</v>
      </c>
      <c r="D186" s="417" t="s">
        <v>77</v>
      </c>
      <c r="E186" s="351" t="s">
        <v>117</v>
      </c>
      <c r="F186" s="4" t="s">
        <v>7</v>
      </c>
      <c r="G186" s="2">
        <f>SUM(G187:G190)</f>
        <v>0</v>
      </c>
      <c r="H186" s="2">
        <f>SUM(H187:H190)</f>
        <v>0</v>
      </c>
      <c r="I186" s="2">
        <f>SUM(I187:I190)</f>
        <v>430000</v>
      </c>
    </row>
    <row r="187" spans="1:9" s="9" customFormat="1" outlineLevel="1" x14ac:dyDescent="0.25">
      <c r="A187" s="416"/>
      <c r="B187" s="417"/>
      <c r="C187" s="417"/>
      <c r="D187" s="417"/>
      <c r="E187" s="351"/>
      <c r="F187" s="6" t="s">
        <v>8</v>
      </c>
      <c r="G187" s="7"/>
      <c r="H187" s="7"/>
      <c r="I187" s="7"/>
    </row>
    <row r="188" spans="1:9" s="9" customFormat="1" outlineLevel="1" x14ac:dyDescent="0.25">
      <c r="A188" s="416"/>
      <c r="B188" s="417"/>
      <c r="C188" s="417"/>
      <c r="D188" s="417"/>
      <c r="E188" s="351"/>
      <c r="F188" s="6" t="s">
        <v>9</v>
      </c>
      <c r="G188" s="7"/>
      <c r="H188" s="7"/>
      <c r="I188" s="7">
        <v>430000</v>
      </c>
    </row>
    <row r="189" spans="1:9" s="9" customFormat="1" outlineLevel="1" x14ac:dyDescent="0.25">
      <c r="A189" s="416"/>
      <c r="B189" s="417"/>
      <c r="C189" s="417"/>
      <c r="D189" s="417"/>
      <c r="E189" s="351"/>
      <c r="F189" s="6" t="s">
        <v>10</v>
      </c>
      <c r="G189" s="7"/>
      <c r="H189" s="7"/>
      <c r="I189" s="7"/>
    </row>
    <row r="190" spans="1:9" s="9" customFormat="1" outlineLevel="1" x14ac:dyDescent="0.25">
      <c r="A190" s="416"/>
      <c r="B190" s="417"/>
      <c r="C190" s="417"/>
      <c r="D190" s="417"/>
      <c r="E190" s="351"/>
      <c r="F190" s="6" t="s">
        <v>11</v>
      </c>
      <c r="G190" s="7"/>
      <c r="H190" s="7"/>
      <c r="I190" s="7"/>
    </row>
    <row r="191" spans="1:9" s="9" customFormat="1" outlineLevel="1" x14ac:dyDescent="0.25">
      <c r="A191" s="416" t="s">
        <v>272</v>
      </c>
      <c r="B191" s="417" t="s">
        <v>118</v>
      </c>
      <c r="C191" s="417" t="s">
        <v>119</v>
      </c>
      <c r="D191" s="417" t="s">
        <v>17</v>
      </c>
      <c r="E191" s="351" t="s">
        <v>24</v>
      </c>
      <c r="F191" s="4" t="s">
        <v>7</v>
      </c>
      <c r="G191" s="2">
        <f>SUM(G192:G195)</f>
        <v>1785.05</v>
      </c>
      <c r="H191" s="2">
        <f>SUM(H192:H195)</f>
        <v>24000</v>
      </c>
      <c r="I191" s="2">
        <f>SUM(I192:I195)</f>
        <v>26000</v>
      </c>
    </row>
    <row r="192" spans="1:9" s="9" customFormat="1" outlineLevel="1" x14ac:dyDescent="0.25">
      <c r="A192" s="416"/>
      <c r="B192" s="417"/>
      <c r="C192" s="417"/>
      <c r="D192" s="417"/>
      <c r="E192" s="351"/>
      <c r="F192" s="6" t="s">
        <v>8</v>
      </c>
      <c r="G192" s="10"/>
      <c r="H192" s="10"/>
      <c r="I192" s="10"/>
    </row>
    <row r="193" spans="1:9" s="9" customFormat="1" outlineLevel="1" x14ac:dyDescent="0.25">
      <c r="A193" s="416"/>
      <c r="B193" s="417"/>
      <c r="C193" s="417"/>
      <c r="D193" s="417"/>
      <c r="E193" s="351"/>
      <c r="F193" s="6" t="s">
        <v>9</v>
      </c>
      <c r="G193" s="10"/>
      <c r="H193" s="10">
        <v>24000</v>
      </c>
      <c r="I193" s="10">
        <v>26000</v>
      </c>
    </row>
    <row r="194" spans="1:9" s="9" customFormat="1" outlineLevel="1" x14ac:dyDescent="0.25">
      <c r="A194" s="416"/>
      <c r="B194" s="417"/>
      <c r="C194" s="417"/>
      <c r="D194" s="417"/>
      <c r="E194" s="351"/>
      <c r="F194" s="6" t="s">
        <v>10</v>
      </c>
      <c r="G194" s="10">
        <v>1785.05</v>
      </c>
      <c r="H194" s="10"/>
      <c r="I194" s="10"/>
    </row>
    <row r="195" spans="1:9" s="9" customFormat="1" outlineLevel="1" x14ac:dyDescent="0.25">
      <c r="A195" s="416"/>
      <c r="B195" s="417"/>
      <c r="C195" s="417"/>
      <c r="D195" s="417"/>
      <c r="E195" s="351"/>
      <c r="F195" s="6" t="s">
        <v>11</v>
      </c>
      <c r="G195" s="10"/>
      <c r="H195" s="10"/>
      <c r="I195" s="10"/>
    </row>
    <row r="196" spans="1:9" s="9" customFormat="1" outlineLevel="1" x14ac:dyDescent="0.25">
      <c r="A196" s="416" t="s">
        <v>273</v>
      </c>
      <c r="B196" s="417" t="s">
        <v>120</v>
      </c>
      <c r="C196" s="417" t="s">
        <v>121</v>
      </c>
      <c r="D196" s="417" t="s">
        <v>17</v>
      </c>
      <c r="E196" s="351" t="s">
        <v>122</v>
      </c>
      <c r="F196" s="4" t="s">
        <v>7</v>
      </c>
      <c r="G196" s="2">
        <f>SUM(G197:G200)</f>
        <v>0</v>
      </c>
      <c r="H196" s="2">
        <f>SUM(H197:H200)</f>
        <v>2000</v>
      </c>
      <c r="I196" s="2">
        <f>SUM(I197:I200)</f>
        <v>54000</v>
      </c>
    </row>
    <row r="197" spans="1:9" s="9" customFormat="1" outlineLevel="1" x14ac:dyDescent="0.25">
      <c r="A197" s="416"/>
      <c r="B197" s="417"/>
      <c r="C197" s="417"/>
      <c r="D197" s="417"/>
      <c r="E197" s="351"/>
      <c r="F197" s="6" t="s">
        <v>8</v>
      </c>
      <c r="G197" s="10"/>
      <c r="H197" s="10"/>
      <c r="I197" s="10"/>
    </row>
    <row r="198" spans="1:9" s="9" customFormat="1" outlineLevel="1" x14ac:dyDescent="0.25">
      <c r="A198" s="416"/>
      <c r="B198" s="417"/>
      <c r="C198" s="417"/>
      <c r="D198" s="417"/>
      <c r="E198" s="351"/>
      <c r="F198" s="6" t="s">
        <v>9</v>
      </c>
      <c r="G198" s="10"/>
      <c r="H198" s="10"/>
      <c r="I198" s="10">
        <v>54000</v>
      </c>
    </row>
    <row r="199" spans="1:9" s="9" customFormat="1" outlineLevel="1" x14ac:dyDescent="0.25">
      <c r="A199" s="416"/>
      <c r="B199" s="417"/>
      <c r="C199" s="417"/>
      <c r="D199" s="417"/>
      <c r="E199" s="351"/>
      <c r="F199" s="6" t="s">
        <v>10</v>
      </c>
      <c r="G199" s="10"/>
      <c r="H199" s="10">
        <v>2000</v>
      </c>
      <c r="I199" s="10"/>
    </row>
    <row r="200" spans="1:9" s="9" customFormat="1" outlineLevel="1" x14ac:dyDescent="0.25">
      <c r="A200" s="416"/>
      <c r="B200" s="417"/>
      <c r="C200" s="417"/>
      <c r="D200" s="417"/>
      <c r="E200" s="351"/>
      <c r="F200" s="6" t="s">
        <v>11</v>
      </c>
      <c r="G200" s="10"/>
      <c r="H200" s="10"/>
      <c r="I200" s="10"/>
    </row>
    <row r="201" spans="1:9" s="9" customFormat="1" outlineLevel="1" x14ac:dyDescent="0.25">
      <c r="A201" s="416" t="s">
        <v>274</v>
      </c>
      <c r="B201" s="417" t="s">
        <v>123</v>
      </c>
      <c r="C201" s="417" t="s">
        <v>124</v>
      </c>
      <c r="D201" s="417" t="s">
        <v>17</v>
      </c>
      <c r="E201" s="351" t="s">
        <v>125</v>
      </c>
      <c r="F201" s="4" t="s">
        <v>7</v>
      </c>
      <c r="G201" s="2">
        <f>SUM(G202:G205)</f>
        <v>0</v>
      </c>
      <c r="H201" s="2">
        <f>SUM(H202:H205)</f>
        <v>1000</v>
      </c>
      <c r="I201" s="2">
        <f>SUM(I202:I205)</f>
        <v>17422</v>
      </c>
    </row>
    <row r="202" spans="1:9" s="9" customFormat="1" outlineLevel="1" x14ac:dyDescent="0.25">
      <c r="A202" s="416"/>
      <c r="B202" s="417"/>
      <c r="C202" s="417"/>
      <c r="D202" s="417"/>
      <c r="E202" s="351"/>
      <c r="F202" s="6" t="s">
        <v>8</v>
      </c>
      <c r="G202" s="10"/>
      <c r="H202" s="10"/>
      <c r="I202" s="10"/>
    </row>
    <row r="203" spans="1:9" s="9" customFormat="1" outlineLevel="1" x14ac:dyDescent="0.25">
      <c r="A203" s="416"/>
      <c r="B203" s="417"/>
      <c r="C203" s="417"/>
      <c r="D203" s="417"/>
      <c r="E203" s="351"/>
      <c r="F203" s="6" t="s">
        <v>9</v>
      </c>
      <c r="G203" s="10"/>
      <c r="H203" s="10"/>
      <c r="I203" s="10">
        <v>17422</v>
      </c>
    </row>
    <row r="204" spans="1:9" s="9" customFormat="1" outlineLevel="1" x14ac:dyDescent="0.25">
      <c r="A204" s="416"/>
      <c r="B204" s="417"/>
      <c r="C204" s="417"/>
      <c r="D204" s="417"/>
      <c r="E204" s="351"/>
      <c r="F204" s="6" t="s">
        <v>10</v>
      </c>
      <c r="G204" s="10"/>
      <c r="H204" s="10">
        <v>1000</v>
      </c>
      <c r="I204" s="10"/>
    </row>
    <row r="205" spans="1:9" s="9" customFormat="1" outlineLevel="1" x14ac:dyDescent="0.25">
      <c r="A205" s="416"/>
      <c r="B205" s="417"/>
      <c r="C205" s="417"/>
      <c r="D205" s="417"/>
      <c r="E205" s="351"/>
      <c r="F205" s="6" t="s">
        <v>11</v>
      </c>
      <c r="G205" s="10"/>
      <c r="H205" s="10"/>
      <c r="I205" s="10"/>
    </row>
    <row r="206" spans="1:9" s="9" customFormat="1" outlineLevel="1" x14ac:dyDescent="0.25">
      <c r="A206" s="416" t="s">
        <v>275</v>
      </c>
      <c r="B206" s="417" t="s">
        <v>197</v>
      </c>
      <c r="C206" s="417" t="s">
        <v>126</v>
      </c>
      <c r="D206" s="417" t="s">
        <v>17</v>
      </c>
      <c r="E206" s="351" t="s">
        <v>125</v>
      </c>
      <c r="F206" s="4" t="s">
        <v>7</v>
      </c>
      <c r="G206" s="2">
        <f>SUM(G207:G210)</f>
        <v>0</v>
      </c>
      <c r="H206" s="2">
        <f>SUM(H207:H210)</f>
        <v>1000</v>
      </c>
      <c r="I206" s="2">
        <f>SUM(I207:I210)</f>
        <v>25916.05</v>
      </c>
    </row>
    <row r="207" spans="1:9" s="9" customFormat="1" outlineLevel="1" x14ac:dyDescent="0.25">
      <c r="A207" s="416"/>
      <c r="B207" s="417"/>
      <c r="C207" s="417"/>
      <c r="D207" s="417"/>
      <c r="E207" s="351"/>
      <c r="F207" s="6" t="s">
        <v>8</v>
      </c>
      <c r="G207" s="10"/>
      <c r="H207" s="10"/>
      <c r="I207" s="10"/>
    </row>
    <row r="208" spans="1:9" s="9" customFormat="1" outlineLevel="1" x14ac:dyDescent="0.25">
      <c r="A208" s="416"/>
      <c r="B208" s="417"/>
      <c r="C208" s="417"/>
      <c r="D208" s="417"/>
      <c r="E208" s="351"/>
      <c r="F208" s="6" t="s">
        <v>9</v>
      </c>
      <c r="G208" s="10"/>
      <c r="H208" s="10"/>
      <c r="I208" s="10">
        <v>25916.05</v>
      </c>
    </row>
    <row r="209" spans="1:11" s="9" customFormat="1" outlineLevel="1" x14ac:dyDescent="0.25">
      <c r="A209" s="416"/>
      <c r="B209" s="417"/>
      <c r="C209" s="417"/>
      <c r="D209" s="417"/>
      <c r="E209" s="351"/>
      <c r="F209" s="6" t="s">
        <v>10</v>
      </c>
      <c r="G209" s="10"/>
      <c r="H209" s="10">
        <v>1000</v>
      </c>
      <c r="I209" s="10"/>
    </row>
    <row r="210" spans="1:11" s="9" customFormat="1" outlineLevel="1" x14ac:dyDescent="0.25">
      <c r="A210" s="416"/>
      <c r="B210" s="417"/>
      <c r="C210" s="417"/>
      <c r="D210" s="417"/>
      <c r="E210" s="351"/>
      <c r="F210" s="6" t="s">
        <v>11</v>
      </c>
      <c r="G210" s="10"/>
      <c r="H210" s="10"/>
      <c r="I210" s="10"/>
    </row>
    <row r="211" spans="1:11" s="9" customFormat="1" outlineLevel="1" x14ac:dyDescent="0.25">
      <c r="A211" s="416" t="s">
        <v>276</v>
      </c>
      <c r="B211" s="417" t="s">
        <v>198</v>
      </c>
      <c r="C211" s="417" t="s">
        <v>127</v>
      </c>
      <c r="D211" s="417" t="s">
        <v>17</v>
      </c>
      <c r="E211" s="351" t="s">
        <v>125</v>
      </c>
      <c r="F211" s="4" t="s">
        <v>7</v>
      </c>
      <c r="G211" s="2">
        <v>0</v>
      </c>
      <c r="H211" s="2">
        <v>1000</v>
      </c>
      <c r="I211" s="2">
        <v>70318</v>
      </c>
    </row>
    <row r="212" spans="1:11" s="9" customFormat="1" outlineLevel="1" x14ac:dyDescent="0.25">
      <c r="A212" s="416"/>
      <c r="B212" s="417"/>
      <c r="C212" s="417"/>
      <c r="D212" s="417"/>
      <c r="E212" s="351"/>
      <c r="F212" s="6" t="s">
        <v>8</v>
      </c>
      <c r="G212" s="10"/>
      <c r="H212" s="10"/>
      <c r="I212" s="10"/>
    </row>
    <row r="213" spans="1:11" s="9" customFormat="1" outlineLevel="1" x14ac:dyDescent="0.25">
      <c r="A213" s="416"/>
      <c r="B213" s="417"/>
      <c r="C213" s="417"/>
      <c r="D213" s="417"/>
      <c r="E213" s="351"/>
      <c r="F213" s="6" t="s">
        <v>9</v>
      </c>
      <c r="G213" s="10"/>
      <c r="H213" s="10"/>
      <c r="I213" s="10">
        <v>70318</v>
      </c>
    </row>
    <row r="214" spans="1:11" s="9" customFormat="1" outlineLevel="1" x14ac:dyDescent="0.25">
      <c r="A214" s="416"/>
      <c r="B214" s="417"/>
      <c r="C214" s="417"/>
      <c r="D214" s="417"/>
      <c r="E214" s="351"/>
      <c r="F214" s="6" t="s">
        <v>10</v>
      </c>
      <c r="G214" s="10"/>
      <c r="H214" s="10">
        <v>1000</v>
      </c>
      <c r="I214" s="10"/>
    </row>
    <row r="215" spans="1:11" s="9" customFormat="1" outlineLevel="1" x14ac:dyDescent="0.25">
      <c r="A215" s="416"/>
      <c r="B215" s="417"/>
      <c r="C215" s="417"/>
      <c r="D215" s="417"/>
      <c r="E215" s="351"/>
      <c r="F215" s="6" t="s">
        <v>11</v>
      </c>
      <c r="G215" s="10"/>
      <c r="H215" s="10"/>
      <c r="I215" s="10"/>
    </row>
    <row r="216" spans="1:11" s="72" customFormat="1" x14ac:dyDescent="0.25">
      <c r="A216" s="381" t="s">
        <v>44</v>
      </c>
      <c r="B216" s="382" t="s">
        <v>55</v>
      </c>
      <c r="C216" s="381"/>
      <c r="D216" s="382"/>
      <c r="E216" s="382"/>
      <c r="F216" s="65" t="s">
        <v>7</v>
      </c>
      <c r="G216" s="66">
        <f t="shared" ref="G216:H216" si="46">SUM(G217:G220)</f>
        <v>0</v>
      </c>
      <c r="H216" s="66">
        <f t="shared" si="46"/>
        <v>40000</v>
      </c>
      <c r="I216" s="66">
        <f>SUM(I217:I220)</f>
        <v>40000</v>
      </c>
      <c r="J216" s="71"/>
      <c r="K216" s="71"/>
    </row>
    <row r="217" spans="1:11" s="72" customFormat="1" x14ac:dyDescent="0.25">
      <c r="A217" s="381"/>
      <c r="B217" s="382"/>
      <c r="C217" s="381"/>
      <c r="D217" s="382"/>
      <c r="E217" s="382"/>
      <c r="F217" s="69" t="s">
        <v>8</v>
      </c>
      <c r="G217" s="73">
        <f>G222</f>
        <v>0</v>
      </c>
      <c r="H217" s="73">
        <f t="shared" ref="H217:I217" si="47">H222</f>
        <v>0</v>
      </c>
      <c r="I217" s="73">
        <f t="shared" si="47"/>
        <v>0</v>
      </c>
      <c r="J217" s="71"/>
      <c r="K217" s="71"/>
    </row>
    <row r="218" spans="1:11" s="72" customFormat="1" x14ac:dyDescent="0.25">
      <c r="A218" s="381"/>
      <c r="B218" s="382"/>
      <c r="C218" s="381"/>
      <c r="D218" s="382"/>
      <c r="E218" s="382"/>
      <c r="F218" s="69" t="s">
        <v>9</v>
      </c>
      <c r="G218" s="73">
        <f>+G223</f>
        <v>0</v>
      </c>
      <c r="H218" s="73">
        <f t="shared" ref="H218:I218" si="48">+H223</f>
        <v>40000</v>
      </c>
      <c r="I218" s="73">
        <f t="shared" si="48"/>
        <v>40000</v>
      </c>
      <c r="J218" s="71"/>
      <c r="K218" s="71"/>
    </row>
    <row r="219" spans="1:11" s="72" customFormat="1" x14ac:dyDescent="0.25">
      <c r="A219" s="381"/>
      <c r="B219" s="382"/>
      <c r="C219" s="381"/>
      <c r="D219" s="382"/>
      <c r="E219" s="382"/>
      <c r="F219" s="69" t="s">
        <v>10</v>
      </c>
      <c r="G219" s="73">
        <f>G224</f>
        <v>0</v>
      </c>
      <c r="H219" s="73">
        <f t="shared" ref="H219:I219" si="49">H224</f>
        <v>0</v>
      </c>
      <c r="I219" s="73">
        <f t="shared" si="49"/>
        <v>0</v>
      </c>
      <c r="J219" s="71"/>
      <c r="K219" s="71"/>
    </row>
    <row r="220" spans="1:11" s="72" customFormat="1" x14ac:dyDescent="0.25">
      <c r="A220" s="381"/>
      <c r="B220" s="382"/>
      <c r="C220" s="381"/>
      <c r="D220" s="382"/>
      <c r="E220" s="382"/>
      <c r="F220" s="69" t="s">
        <v>11</v>
      </c>
      <c r="G220" s="73">
        <f>G225</f>
        <v>0</v>
      </c>
      <c r="H220" s="73">
        <f t="shared" ref="H220:I220" si="50">H225</f>
        <v>0</v>
      </c>
      <c r="I220" s="73">
        <f t="shared" si="50"/>
        <v>0</v>
      </c>
      <c r="J220" s="71"/>
      <c r="K220" s="71"/>
    </row>
    <row r="221" spans="1:11" s="9" customFormat="1" outlineLevel="1" x14ac:dyDescent="0.25">
      <c r="A221" s="416" t="s">
        <v>277</v>
      </c>
      <c r="B221" s="417" t="s">
        <v>155</v>
      </c>
      <c r="C221" s="417" t="s">
        <v>177</v>
      </c>
      <c r="D221" s="417" t="s">
        <v>56</v>
      </c>
      <c r="E221" s="351" t="s">
        <v>115</v>
      </c>
      <c r="F221" s="4" t="s">
        <v>7</v>
      </c>
      <c r="G221" s="2">
        <f>SUM(G222:G225)</f>
        <v>0</v>
      </c>
      <c r="H221" s="2">
        <f>SUM(H222:H225)</f>
        <v>40000</v>
      </c>
      <c r="I221" s="2">
        <f>SUM(I222:I225)</f>
        <v>40000</v>
      </c>
    </row>
    <row r="222" spans="1:11" s="9" customFormat="1" outlineLevel="1" x14ac:dyDescent="0.25">
      <c r="A222" s="416"/>
      <c r="B222" s="417"/>
      <c r="C222" s="417"/>
      <c r="D222" s="417"/>
      <c r="E222" s="351"/>
      <c r="F222" s="6" t="s">
        <v>8</v>
      </c>
      <c r="G222" s="10"/>
      <c r="H222" s="10"/>
      <c r="I222" s="10"/>
    </row>
    <row r="223" spans="1:11" s="9" customFormat="1" outlineLevel="1" x14ac:dyDescent="0.25">
      <c r="A223" s="416"/>
      <c r="B223" s="417"/>
      <c r="C223" s="417"/>
      <c r="D223" s="417"/>
      <c r="E223" s="351"/>
      <c r="F223" s="6" t="s">
        <v>9</v>
      </c>
      <c r="G223" s="10"/>
      <c r="H223" s="10">
        <v>40000</v>
      </c>
      <c r="I223" s="10">
        <v>40000</v>
      </c>
    </row>
    <row r="224" spans="1:11" s="9" customFormat="1" outlineLevel="1" x14ac:dyDescent="0.25">
      <c r="A224" s="416"/>
      <c r="B224" s="417"/>
      <c r="C224" s="417"/>
      <c r="D224" s="417"/>
      <c r="E224" s="351"/>
      <c r="F224" s="6" t="s">
        <v>10</v>
      </c>
      <c r="G224" s="10"/>
      <c r="H224" s="10"/>
      <c r="I224" s="10"/>
    </row>
    <row r="225" spans="1:11" s="9" customFormat="1" outlineLevel="1" x14ac:dyDescent="0.25">
      <c r="A225" s="416"/>
      <c r="B225" s="417"/>
      <c r="C225" s="417"/>
      <c r="D225" s="417"/>
      <c r="E225" s="351"/>
      <c r="F225" s="6" t="s">
        <v>11</v>
      </c>
      <c r="G225" s="10"/>
      <c r="H225" s="10"/>
      <c r="I225" s="10"/>
    </row>
    <row r="226" spans="1:11" s="72" customFormat="1" x14ac:dyDescent="0.25">
      <c r="A226" s="381" t="s">
        <v>57</v>
      </c>
      <c r="B226" s="382" t="s">
        <v>58</v>
      </c>
      <c r="C226" s="381"/>
      <c r="D226" s="382"/>
      <c r="E226" s="381"/>
      <c r="F226" s="65" t="s">
        <v>7</v>
      </c>
      <c r="G226" s="66">
        <f t="shared" ref="G226:H226" si="51">SUM(G227:G230)</f>
        <v>152650</v>
      </c>
      <c r="H226" s="66">
        <f t="shared" si="51"/>
        <v>294551</v>
      </c>
      <c r="I226" s="66">
        <f>SUM(I227:I230)</f>
        <v>60250</v>
      </c>
      <c r="J226" s="71"/>
      <c r="K226" s="71"/>
    </row>
    <row r="227" spans="1:11" s="72" customFormat="1" x14ac:dyDescent="0.25">
      <c r="A227" s="381"/>
      <c r="B227" s="382"/>
      <c r="C227" s="381"/>
      <c r="D227" s="382"/>
      <c r="E227" s="381"/>
      <c r="F227" s="69" t="s">
        <v>8</v>
      </c>
      <c r="G227" s="79">
        <f>G247+G252+G257+G262+G232+G237+G242</f>
        <v>0</v>
      </c>
      <c r="H227" s="79">
        <f t="shared" ref="H227:I227" si="52">H247+H252+H257+H262+H232+H237+H242</f>
        <v>0</v>
      </c>
      <c r="I227" s="79">
        <f t="shared" si="52"/>
        <v>0</v>
      </c>
      <c r="J227" s="71"/>
      <c r="K227" s="71"/>
    </row>
    <row r="228" spans="1:11" s="72" customFormat="1" x14ac:dyDescent="0.25">
      <c r="A228" s="381"/>
      <c r="B228" s="382"/>
      <c r="C228" s="381"/>
      <c r="D228" s="382"/>
      <c r="E228" s="381"/>
      <c r="F228" s="69" t="s">
        <v>9</v>
      </c>
      <c r="G228" s="79">
        <f t="shared" ref="G228:I230" si="53">G248+G253+G258+G263+G233+G238+G243</f>
        <v>105500</v>
      </c>
      <c r="H228" s="79">
        <f t="shared" si="53"/>
        <v>201830</v>
      </c>
      <c r="I228" s="79">
        <f t="shared" si="53"/>
        <v>55250</v>
      </c>
      <c r="J228" s="71"/>
      <c r="K228" s="71"/>
    </row>
    <row r="229" spans="1:11" s="72" customFormat="1" x14ac:dyDescent="0.25">
      <c r="A229" s="381"/>
      <c r="B229" s="382"/>
      <c r="C229" s="381"/>
      <c r="D229" s="382"/>
      <c r="E229" s="381"/>
      <c r="F229" s="69" t="s">
        <v>10</v>
      </c>
      <c r="G229" s="79">
        <f t="shared" si="53"/>
        <v>5150</v>
      </c>
      <c r="H229" s="79">
        <f t="shared" si="53"/>
        <v>40721</v>
      </c>
      <c r="I229" s="79">
        <f t="shared" si="53"/>
        <v>5000</v>
      </c>
      <c r="J229" s="71"/>
      <c r="K229" s="71"/>
    </row>
    <row r="230" spans="1:11" s="72" customFormat="1" x14ac:dyDescent="0.25">
      <c r="A230" s="381"/>
      <c r="B230" s="382"/>
      <c r="C230" s="381"/>
      <c r="D230" s="382"/>
      <c r="E230" s="381"/>
      <c r="F230" s="69" t="s">
        <v>11</v>
      </c>
      <c r="G230" s="79">
        <f t="shared" si="53"/>
        <v>42000</v>
      </c>
      <c r="H230" s="79">
        <f t="shared" si="53"/>
        <v>52000</v>
      </c>
      <c r="I230" s="79">
        <f t="shared" si="53"/>
        <v>0</v>
      </c>
      <c r="J230" s="71"/>
      <c r="K230" s="71"/>
    </row>
    <row r="231" spans="1:11" s="9" customFormat="1" outlineLevel="1" x14ac:dyDescent="0.25">
      <c r="A231" s="416" t="s">
        <v>80</v>
      </c>
      <c r="B231" s="417" t="s">
        <v>60</v>
      </c>
      <c r="C231" s="417" t="s">
        <v>193</v>
      </c>
      <c r="D231" s="417" t="s">
        <v>78</v>
      </c>
      <c r="E231" s="351" t="s">
        <v>16</v>
      </c>
      <c r="F231" s="3" t="s">
        <v>7</v>
      </c>
      <c r="G231" s="2">
        <f>SUM(G232:G235)</f>
        <v>78000</v>
      </c>
      <c r="H231" s="2">
        <f>SUM(H232:H235)</f>
        <v>90000</v>
      </c>
      <c r="I231" s="2">
        <f>SUM(I232:I235)</f>
        <v>0</v>
      </c>
      <c r="J231" s="41"/>
      <c r="K231" s="41"/>
    </row>
    <row r="232" spans="1:11" s="9" customFormat="1" outlineLevel="1" x14ac:dyDescent="0.25">
      <c r="A232" s="416"/>
      <c r="B232" s="417"/>
      <c r="C232" s="417"/>
      <c r="D232" s="417"/>
      <c r="E232" s="351"/>
      <c r="F232" s="6" t="s">
        <v>8</v>
      </c>
      <c r="G232" s="19"/>
      <c r="H232" s="19"/>
      <c r="I232" s="7"/>
      <c r="J232" s="41"/>
      <c r="K232" s="41"/>
    </row>
    <row r="233" spans="1:11" s="9" customFormat="1" outlineLevel="1" x14ac:dyDescent="0.25">
      <c r="A233" s="416"/>
      <c r="B233" s="417"/>
      <c r="C233" s="417"/>
      <c r="D233" s="417"/>
      <c r="E233" s="351"/>
      <c r="F233" s="6" t="s">
        <v>9</v>
      </c>
      <c r="G233" s="7">
        <v>78000</v>
      </c>
      <c r="H233" s="7">
        <v>90000</v>
      </c>
      <c r="I233" s="7"/>
      <c r="J233" s="41"/>
      <c r="K233" s="41"/>
    </row>
    <row r="234" spans="1:11" s="9" customFormat="1" outlineLevel="1" x14ac:dyDescent="0.25">
      <c r="A234" s="416"/>
      <c r="B234" s="417"/>
      <c r="C234" s="417"/>
      <c r="D234" s="417"/>
      <c r="E234" s="351"/>
      <c r="F234" s="6" t="s">
        <v>10</v>
      </c>
      <c r="G234" s="7"/>
      <c r="H234" s="7"/>
      <c r="I234" s="7"/>
      <c r="J234" s="41"/>
      <c r="K234" s="41"/>
    </row>
    <row r="235" spans="1:11" s="9" customFormat="1" outlineLevel="1" x14ac:dyDescent="0.25">
      <c r="A235" s="416"/>
      <c r="B235" s="417"/>
      <c r="C235" s="417"/>
      <c r="D235" s="417"/>
      <c r="E235" s="351"/>
      <c r="F235" s="6" t="s">
        <v>11</v>
      </c>
      <c r="G235" s="7"/>
      <c r="H235" s="7"/>
      <c r="I235" s="7"/>
      <c r="J235" s="41"/>
      <c r="K235" s="41"/>
    </row>
    <row r="236" spans="1:11" s="9" customFormat="1" outlineLevel="1" x14ac:dyDescent="0.25">
      <c r="A236" s="416" t="s">
        <v>82</v>
      </c>
      <c r="B236" s="417" t="s">
        <v>62</v>
      </c>
      <c r="C236" s="417" t="s">
        <v>194</v>
      </c>
      <c r="D236" s="417" t="s">
        <v>59</v>
      </c>
      <c r="E236" s="418" t="s">
        <v>16</v>
      </c>
      <c r="F236" s="4" t="s">
        <v>7</v>
      </c>
      <c r="G236" s="2">
        <f>SUM(G237:G240)</f>
        <v>15150</v>
      </c>
      <c r="H236" s="2">
        <f>SUM(H237:H240)</f>
        <v>72821</v>
      </c>
      <c r="I236" s="2">
        <f>SUM(I237:I240)</f>
        <v>0</v>
      </c>
      <c r="J236" s="41"/>
      <c r="K236" s="41"/>
    </row>
    <row r="237" spans="1:11" s="9" customFormat="1" outlineLevel="1" x14ac:dyDescent="0.25">
      <c r="A237" s="416"/>
      <c r="B237" s="417"/>
      <c r="C237" s="417"/>
      <c r="D237" s="417"/>
      <c r="E237" s="418"/>
      <c r="F237" s="6" t="s">
        <v>8</v>
      </c>
      <c r="G237" s="7"/>
      <c r="H237" s="7"/>
      <c r="I237" s="7"/>
      <c r="J237" s="41"/>
      <c r="K237" s="41"/>
    </row>
    <row r="238" spans="1:11" s="9" customFormat="1" outlineLevel="1" x14ac:dyDescent="0.25">
      <c r="A238" s="416"/>
      <c r="B238" s="417"/>
      <c r="C238" s="417"/>
      <c r="D238" s="417"/>
      <c r="E238" s="418"/>
      <c r="F238" s="6" t="s">
        <v>9</v>
      </c>
      <c r="G238" s="31">
        <v>15000</v>
      </c>
      <c r="H238" s="31">
        <v>72100</v>
      </c>
      <c r="I238" s="7"/>
      <c r="J238" s="41"/>
      <c r="K238" s="41"/>
    </row>
    <row r="239" spans="1:11" s="9" customFormat="1" outlineLevel="1" x14ac:dyDescent="0.25">
      <c r="A239" s="416"/>
      <c r="B239" s="417"/>
      <c r="C239" s="417"/>
      <c r="D239" s="417"/>
      <c r="E239" s="418"/>
      <c r="F239" s="6" t="s">
        <v>10</v>
      </c>
      <c r="G239" s="7">
        <v>150</v>
      </c>
      <c r="H239" s="7">
        <v>721</v>
      </c>
      <c r="I239" s="7"/>
      <c r="J239" s="41"/>
      <c r="K239" s="41"/>
    </row>
    <row r="240" spans="1:11" s="9" customFormat="1" outlineLevel="1" x14ac:dyDescent="0.25">
      <c r="A240" s="416"/>
      <c r="B240" s="417"/>
      <c r="C240" s="417"/>
      <c r="D240" s="417"/>
      <c r="E240" s="418"/>
      <c r="F240" s="6" t="s">
        <v>11</v>
      </c>
      <c r="G240" s="7"/>
      <c r="H240" s="7"/>
      <c r="I240" s="7"/>
      <c r="J240" s="41"/>
      <c r="K240" s="41"/>
    </row>
    <row r="241" spans="1:9" outlineLevel="1" x14ac:dyDescent="0.25">
      <c r="A241" s="416" t="s">
        <v>84</v>
      </c>
      <c r="B241" s="417" t="s">
        <v>67</v>
      </c>
      <c r="C241" s="417" t="s">
        <v>69</v>
      </c>
      <c r="D241" s="417" t="s">
        <v>59</v>
      </c>
      <c r="E241" s="351" t="s">
        <v>16</v>
      </c>
      <c r="F241" s="4" t="s">
        <v>7</v>
      </c>
      <c r="G241" s="2">
        <f>SUM(G242:G245)</f>
        <v>5000</v>
      </c>
      <c r="H241" s="2">
        <f>SUM(H242:H245)</f>
        <v>40000</v>
      </c>
      <c r="I241" s="2">
        <f>SUM(I242:I245)</f>
        <v>0</v>
      </c>
    </row>
    <row r="242" spans="1:9" outlineLevel="1" x14ac:dyDescent="0.25">
      <c r="A242" s="416"/>
      <c r="B242" s="417"/>
      <c r="C242" s="417"/>
      <c r="D242" s="417"/>
      <c r="E242" s="351"/>
      <c r="F242" s="6" t="s">
        <v>8</v>
      </c>
      <c r="G242" s="10"/>
      <c r="H242" s="10"/>
      <c r="I242" s="10"/>
    </row>
    <row r="243" spans="1:9" outlineLevel="1" x14ac:dyDescent="0.25">
      <c r="A243" s="416"/>
      <c r="B243" s="417"/>
      <c r="C243" s="417"/>
      <c r="D243" s="417"/>
      <c r="E243" s="351"/>
      <c r="F243" s="6" t="s">
        <v>9</v>
      </c>
      <c r="G243" s="34">
        <v>5000</v>
      </c>
      <c r="H243" s="34">
        <v>5000</v>
      </c>
      <c r="I243" s="10"/>
    </row>
    <row r="244" spans="1:9" outlineLevel="1" x14ac:dyDescent="0.25">
      <c r="A244" s="416"/>
      <c r="B244" s="417"/>
      <c r="C244" s="417"/>
      <c r="D244" s="417"/>
      <c r="E244" s="351"/>
      <c r="F244" s="6" t="s">
        <v>10</v>
      </c>
      <c r="G244" s="10"/>
      <c r="H244" s="10">
        <v>35000</v>
      </c>
      <c r="I244" s="10"/>
    </row>
    <row r="245" spans="1:9" outlineLevel="1" x14ac:dyDescent="0.25">
      <c r="A245" s="416"/>
      <c r="B245" s="417"/>
      <c r="C245" s="417"/>
      <c r="D245" s="417"/>
      <c r="E245" s="351"/>
      <c r="F245" s="6" t="s">
        <v>11</v>
      </c>
      <c r="G245" s="10"/>
      <c r="H245" s="10"/>
      <c r="I245" s="10"/>
    </row>
    <row r="246" spans="1:9" s="9" customFormat="1" outlineLevel="1" x14ac:dyDescent="0.25">
      <c r="A246" s="416" t="s">
        <v>278</v>
      </c>
      <c r="B246" s="417" t="s">
        <v>128</v>
      </c>
      <c r="C246" s="417" t="s">
        <v>129</v>
      </c>
      <c r="D246" s="417" t="s">
        <v>78</v>
      </c>
      <c r="E246" s="418">
        <v>2024</v>
      </c>
      <c r="F246" s="4" t="s">
        <v>7</v>
      </c>
      <c r="G246" s="2">
        <f>SUM(G247:G250)</f>
        <v>7500</v>
      </c>
      <c r="H246" s="2">
        <f>SUM(H247:H250)</f>
        <v>0</v>
      </c>
      <c r="I246" s="2">
        <f>SUM(I247:I250)</f>
        <v>0</v>
      </c>
    </row>
    <row r="247" spans="1:9" s="9" customFormat="1" outlineLevel="1" x14ac:dyDescent="0.25">
      <c r="A247" s="416"/>
      <c r="B247" s="417"/>
      <c r="C247" s="417"/>
      <c r="D247" s="417"/>
      <c r="E247" s="418"/>
      <c r="F247" s="6" t="s">
        <v>8</v>
      </c>
      <c r="G247" s="7"/>
      <c r="H247" s="7"/>
      <c r="I247" s="7"/>
    </row>
    <row r="248" spans="1:9" s="9" customFormat="1" outlineLevel="1" x14ac:dyDescent="0.25">
      <c r="A248" s="416"/>
      <c r="B248" s="417"/>
      <c r="C248" s="417"/>
      <c r="D248" s="417"/>
      <c r="E248" s="418"/>
      <c r="F248" s="6" t="s">
        <v>9</v>
      </c>
      <c r="G248" s="7">
        <v>7500</v>
      </c>
      <c r="H248" s="7"/>
      <c r="I248" s="7"/>
    </row>
    <row r="249" spans="1:9" s="9" customFormat="1" outlineLevel="1" x14ac:dyDescent="0.25">
      <c r="A249" s="416"/>
      <c r="B249" s="417"/>
      <c r="C249" s="417"/>
      <c r="D249" s="417"/>
      <c r="E249" s="418"/>
      <c r="F249" s="6" t="s">
        <v>10</v>
      </c>
      <c r="G249" s="7"/>
      <c r="H249" s="7"/>
      <c r="I249" s="7"/>
    </row>
    <row r="250" spans="1:9" s="9" customFormat="1" outlineLevel="1" x14ac:dyDescent="0.25">
      <c r="A250" s="416"/>
      <c r="B250" s="417"/>
      <c r="C250" s="417"/>
      <c r="D250" s="417"/>
      <c r="E250" s="418"/>
      <c r="F250" s="6" t="s">
        <v>11</v>
      </c>
      <c r="G250" s="7"/>
      <c r="H250" s="7"/>
      <c r="I250" s="7"/>
    </row>
    <row r="251" spans="1:9" s="9" customFormat="1" outlineLevel="1" x14ac:dyDescent="0.25">
      <c r="A251" s="416" t="s">
        <v>279</v>
      </c>
      <c r="B251" s="417" t="s">
        <v>130</v>
      </c>
      <c r="C251" s="417" t="s">
        <v>129</v>
      </c>
      <c r="D251" s="417" t="s">
        <v>78</v>
      </c>
      <c r="E251" s="418" t="s">
        <v>115</v>
      </c>
      <c r="F251" s="4" t="s">
        <v>7</v>
      </c>
      <c r="G251" s="2">
        <f>SUM(G252:G255)</f>
        <v>0</v>
      </c>
      <c r="H251" s="2">
        <f>SUM(H252:H255)</f>
        <v>34730</v>
      </c>
      <c r="I251" s="2">
        <f>SUM(I252:I255)</f>
        <v>55250</v>
      </c>
    </row>
    <row r="252" spans="1:9" s="9" customFormat="1" outlineLevel="1" x14ac:dyDescent="0.25">
      <c r="A252" s="416"/>
      <c r="B252" s="417"/>
      <c r="C252" s="417"/>
      <c r="D252" s="417"/>
      <c r="E252" s="418"/>
      <c r="F252" s="6" t="s">
        <v>8</v>
      </c>
      <c r="G252" s="7"/>
      <c r="H252" s="7"/>
      <c r="I252" s="7"/>
    </row>
    <row r="253" spans="1:9" s="9" customFormat="1" outlineLevel="1" x14ac:dyDescent="0.25">
      <c r="A253" s="416"/>
      <c r="B253" s="417"/>
      <c r="C253" s="417"/>
      <c r="D253" s="417"/>
      <c r="E253" s="418"/>
      <c r="F253" s="6" t="s">
        <v>9</v>
      </c>
      <c r="G253" s="7"/>
      <c r="H253" s="7">
        <v>34730</v>
      </c>
      <c r="I253" s="7">
        <v>55250</v>
      </c>
    </row>
    <row r="254" spans="1:9" s="9" customFormat="1" outlineLevel="1" x14ac:dyDescent="0.25">
      <c r="A254" s="416"/>
      <c r="B254" s="417"/>
      <c r="C254" s="417"/>
      <c r="D254" s="417"/>
      <c r="E254" s="418"/>
      <c r="F254" s="6" t="s">
        <v>10</v>
      </c>
      <c r="G254" s="7"/>
      <c r="H254" s="7"/>
      <c r="I254" s="7"/>
    </row>
    <row r="255" spans="1:9" s="9" customFormat="1" outlineLevel="1" x14ac:dyDescent="0.25">
      <c r="A255" s="416"/>
      <c r="B255" s="417"/>
      <c r="C255" s="417"/>
      <c r="D255" s="417"/>
      <c r="E255" s="418"/>
      <c r="F255" s="6" t="s">
        <v>11</v>
      </c>
      <c r="G255" s="7"/>
      <c r="H255" s="7"/>
      <c r="I255" s="7"/>
    </row>
    <row r="256" spans="1:9" s="9" customFormat="1" outlineLevel="1" x14ac:dyDescent="0.25">
      <c r="A256" s="416" t="s">
        <v>280</v>
      </c>
      <c r="B256" s="417" t="s">
        <v>131</v>
      </c>
      <c r="C256" s="417" t="s">
        <v>132</v>
      </c>
      <c r="D256" s="417" t="s">
        <v>78</v>
      </c>
      <c r="E256" s="418" t="s">
        <v>50</v>
      </c>
      <c r="F256" s="4" t="s">
        <v>7</v>
      </c>
      <c r="G256" s="2">
        <f t="shared" ref="G256:H256" si="54">SUM(G257:G260)</f>
        <v>42000</v>
      </c>
      <c r="H256" s="2">
        <f t="shared" si="54"/>
        <v>52000</v>
      </c>
      <c r="I256" s="2">
        <f>SUM(I257:I260)</f>
        <v>0</v>
      </c>
    </row>
    <row r="257" spans="1:9" s="9" customFormat="1" outlineLevel="1" x14ac:dyDescent="0.25">
      <c r="A257" s="416"/>
      <c r="B257" s="417"/>
      <c r="C257" s="417"/>
      <c r="D257" s="417"/>
      <c r="E257" s="418"/>
      <c r="F257" s="6" t="s">
        <v>8</v>
      </c>
      <c r="G257" s="7"/>
      <c r="H257" s="7"/>
      <c r="I257" s="7"/>
    </row>
    <row r="258" spans="1:9" s="9" customFormat="1" outlineLevel="1" x14ac:dyDescent="0.25">
      <c r="A258" s="416"/>
      <c r="B258" s="417"/>
      <c r="C258" s="417"/>
      <c r="D258" s="417"/>
      <c r="E258" s="418"/>
      <c r="F258" s="6" t="s">
        <v>9</v>
      </c>
      <c r="G258" s="7"/>
      <c r="H258" s="7"/>
      <c r="I258" s="7"/>
    </row>
    <row r="259" spans="1:9" s="9" customFormat="1" outlineLevel="1" x14ac:dyDescent="0.25">
      <c r="A259" s="416"/>
      <c r="B259" s="417"/>
      <c r="C259" s="417"/>
      <c r="D259" s="417"/>
      <c r="E259" s="418"/>
      <c r="F259" s="6" t="s">
        <v>10</v>
      </c>
      <c r="G259" s="19"/>
      <c r="H259" s="7"/>
      <c r="I259" s="7"/>
    </row>
    <row r="260" spans="1:9" s="9" customFormat="1" outlineLevel="1" x14ac:dyDescent="0.25">
      <c r="A260" s="416"/>
      <c r="B260" s="417"/>
      <c r="C260" s="417"/>
      <c r="D260" s="417"/>
      <c r="E260" s="418"/>
      <c r="F260" s="6" t="s">
        <v>11</v>
      </c>
      <c r="G260" s="7">
        <v>42000</v>
      </c>
      <c r="H260" s="7">
        <v>52000</v>
      </c>
      <c r="I260" s="7"/>
    </row>
    <row r="261" spans="1:9" s="9" customFormat="1" outlineLevel="1" x14ac:dyDescent="0.25">
      <c r="A261" s="416" t="s">
        <v>281</v>
      </c>
      <c r="B261" s="417" t="s">
        <v>199</v>
      </c>
      <c r="C261" s="351"/>
      <c r="D261" s="417" t="s">
        <v>59</v>
      </c>
      <c r="E261" s="418" t="s">
        <v>38</v>
      </c>
      <c r="F261" s="4" t="s">
        <v>7</v>
      </c>
      <c r="G261" s="2">
        <f t="shared" ref="G261:H261" si="55">SUM(G262:G265)</f>
        <v>5000</v>
      </c>
      <c r="H261" s="2">
        <f t="shared" si="55"/>
        <v>5000</v>
      </c>
      <c r="I261" s="2">
        <f>SUM(I262:I265)</f>
        <v>5000</v>
      </c>
    </row>
    <row r="262" spans="1:9" s="9" customFormat="1" outlineLevel="1" x14ac:dyDescent="0.25">
      <c r="A262" s="416"/>
      <c r="B262" s="417"/>
      <c r="C262" s="351"/>
      <c r="D262" s="417"/>
      <c r="E262" s="418"/>
      <c r="F262" s="6" t="s">
        <v>8</v>
      </c>
      <c r="G262" s="7"/>
      <c r="H262" s="7"/>
      <c r="I262" s="7"/>
    </row>
    <row r="263" spans="1:9" s="9" customFormat="1" outlineLevel="1" x14ac:dyDescent="0.25">
      <c r="A263" s="416"/>
      <c r="B263" s="417"/>
      <c r="C263" s="351"/>
      <c r="D263" s="417"/>
      <c r="E263" s="418"/>
      <c r="F263" s="6" t="s">
        <v>9</v>
      </c>
      <c r="G263" s="7"/>
      <c r="H263" s="7"/>
      <c r="I263" s="7"/>
    </row>
    <row r="264" spans="1:9" s="9" customFormat="1" outlineLevel="1" x14ac:dyDescent="0.25">
      <c r="A264" s="416"/>
      <c r="B264" s="417"/>
      <c r="C264" s="351"/>
      <c r="D264" s="417"/>
      <c r="E264" s="418"/>
      <c r="F264" s="6" t="s">
        <v>10</v>
      </c>
      <c r="G264" s="7">
        <v>5000</v>
      </c>
      <c r="H264" s="7">
        <v>5000</v>
      </c>
      <c r="I264" s="7">
        <v>5000</v>
      </c>
    </row>
    <row r="265" spans="1:9" s="9" customFormat="1" outlineLevel="1" x14ac:dyDescent="0.25">
      <c r="A265" s="416"/>
      <c r="B265" s="417"/>
      <c r="C265" s="351"/>
      <c r="D265" s="417"/>
      <c r="E265" s="418"/>
      <c r="F265" s="6" t="s">
        <v>11</v>
      </c>
      <c r="G265" s="7"/>
      <c r="H265" s="7"/>
      <c r="I265" s="7"/>
    </row>
    <row r="431" spans="1:12" s="12" customFormat="1" x14ac:dyDescent="0.25">
      <c r="A431" s="186"/>
      <c r="B431" s="62"/>
      <c r="C431" s="62"/>
      <c r="E431" s="62"/>
      <c r="F431" s="21"/>
      <c r="G431" s="22"/>
      <c r="H431" s="22"/>
      <c r="I431" s="22"/>
      <c r="J431" s="25"/>
      <c r="K431" s="25"/>
      <c r="L431"/>
    </row>
    <row r="432" spans="1:12" s="12" customFormat="1" x14ac:dyDescent="0.25">
      <c r="A432" s="186"/>
      <c r="B432" s="62"/>
      <c r="C432" s="62"/>
      <c r="E432" s="62"/>
      <c r="F432" s="21"/>
      <c r="J432" s="25"/>
      <c r="K432" s="25"/>
      <c r="L432"/>
    </row>
    <row r="433" spans="1:12" s="12" customFormat="1" x14ac:dyDescent="0.25">
      <c r="A433" s="186"/>
      <c r="B433" s="62"/>
      <c r="C433" s="62"/>
      <c r="E433" s="62"/>
      <c r="F433" s="21"/>
      <c r="J433" s="25"/>
      <c r="K433" s="25"/>
      <c r="L433"/>
    </row>
    <row r="434" spans="1:12" s="12" customFormat="1" x14ac:dyDescent="0.25">
      <c r="A434" s="186"/>
      <c r="B434" s="62"/>
      <c r="C434" s="62"/>
      <c r="E434" s="62"/>
      <c r="F434" s="21"/>
      <c r="J434" s="25"/>
      <c r="K434" s="25"/>
      <c r="L434"/>
    </row>
    <row r="436" spans="1:12" s="12" customFormat="1" x14ac:dyDescent="0.25">
      <c r="A436" s="186"/>
      <c r="B436" s="62"/>
      <c r="C436" s="62"/>
      <c r="E436" s="62"/>
      <c r="F436" s="21"/>
      <c r="J436" s="25"/>
      <c r="K436" s="25"/>
      <c r="L436"/>
    </row>
    <row r="437" spans="1:12" s="12" customFormat="1" x14ac:dyDescent="0.25">
      <c r="A437" s="186"/>
      <c r="B437" s="62"/>
      <c r="C437" s="62"/>
      <c r="E437" s="62"/>
      <c r="F437" s="21"/>
      <c r="J437" s="25"/>
      <c r="K437" s="25"/>
      <c r="L437"/>
    </row>
    <row r="438" spans="1:12" s="12" customFormat="1" x14ac:dyDescent="0.25">
      <c r="A438" s="186"/>
      <c r="B438" s="62"/>
      <c r="C438" s="62"/>
      <c r="E438" s="62"/>
      <c r="F438" s="21"/>
      <c r="J438" s="25"/>
      <c r="K438" s="25"/>
      <c r="L438"/>
    </row>
    <row r="439" spans="1:12" s="12" customFormat="1" x14ac:dyDescent="0.25">
      <c r="A439" s="186"/>
      <c r="B439" s="62"/>
      <c r="C439" s="62"/>
      <c r="E439" s="62"/>
      <c r="F439" s="21"/>
      <c r="J439" s="25"/>
      <c r="K439" s="25"/>
      <c r="L439"/>
    </row>
    <row r="440" spans="1:12" s="12" customFormat="1" x14ac:dyDescent="0.25">
      <c r="A440" s="186"/>
      <c r="B440" s="62"/>
      <c r="C440" s="62"/>
      <c r="E440" s="62"/>
      <c r="F440" s="21"/>
      <c r="J440" s="25"/>
      <c r="K440" s="25"/>
      <c r="L440"/>
    </row>
    <row r="441" spans="1:12" s="12" customFormat="1" x14ac:dyDescent="0.25">
      <c r="A441" s="186"/>
      <c r="B441" s="62"/>
      <c r="C441" s="62"/>
      <c r="E441" s="62"/>
      <c r="F441" s="21"/>
      <c r="J441" s="25"/>
      <c r="K441" s="25"/>
      <c r="L441"/>
    </row>
    <row r="442" spans="1:12" s="12" customFormat="1" x14ac:dyDescent="0.25">
      <c r="A442" s="186"/>
      <c r="B442" s="62"/>
      <c r="C442" s="62"/>
      <c r="E442" s="62"/>
      <c r="F442" s="21"/>
      <c r="J442" s="25"/>
      <c r="K442" s="25"/>
      <c r="L442"/>
    </row>
    <row r="443" spans="1:12" s="12" customFormat="1" x14ac:dyDescent="0.25">
      <c r="A443" s="186"/>
      <c r="B443" s="62"/>
      <c r="C443" s="62"/>
      <c r="E443" s="62"/>
      <c r="F443" s="21"/>
      <c r="J443" s="25"/>
      <c r="K443" s="25"/>
      <c r="L443"/>
    </row>
    <row r="444" spans="1:12" s="12" customFormat="1" x14ac:dyDescent="0.25">
      <c r="A444" s="186"/>
      <c r="B444" s="62"/>
      <c r="C444" s="62"/>
      <c r="E444" s="62"/>
      <c r="F444" s="21"/>
      <c r="J444" s="25"/>
      <c r="K444" s="25"/>
      <c r="L444"/>
    </row>
    <row r="445" spans="1:12" s="12" customFormat="1" x14ac:dyDescent="0.25">
      <c r="A445" s="186"/>
      <c r="B445" s="62"/>
      <c r="C445" s="62"/>
      <c r="E445" s="62"/>
      <c r="F445" s="21"/>
      <c r="J445" s="25"/>
      <c r="K445" s="25"/>
      <c r="L445"/>
    </row>
    <row r="446" spans="1:12" s="12" customFormat="1" x14ac:dyDescent="0.25">
      <c r="A446" s="186"/>
      <c r="B446" s="62"/>
      <c r="C446" s="62"/>
      <c r="E446" s="62"/>
      <c r="F446" s="21"/>
      <c r="J446" s="25"/>
      <c r="K446" s="25"/>
      <c r="L446"/>
    </row>
    <row r="447" spans="1:12" s="12" customFormat="1" x14ac:dyDescent="0.25">
      <c r="A447" s="186"/>
      <c r="B447" s="62"/>
      <c r="C447" s="62"/>
      <c r="E447" s="62"/>
      <c r="F447" s="21"/>
      <c r="J447" s="25"/>
      <c r="K447" s="25"/>
      <c r="L447"/>
    </row>
    <row r="448" spans="1:12" s="12" customFormat="1" x14ac:dyDescent="0.25">
      <c r="A448" s="186"/>
      <c r="B448" s="62"/>
      <c r="C448" s="62"/>
      <c r="E448" s="62"/>
      <c r="F448" s="21"/>
      <c r="J448" s="25"/>
      <c r="K448" s="25"/>
      <c r="L448"/>
    </row>
    <row r="449" spans="1:12" s="12" customFormat="1" x14ac:dyDescent="0.25">
      <c r="A449" s="186"/>
      <c r="B449" s="62"/>
      <c r="C449" s="62"/>
      <c r="E449" s="62"/>
      <c r="F449" s="21"/>
      <c r="J449" s="25"/>
      <c r="K449" s="25"/>
      <c r="L449"/>
    </row>
    <row r="450" spans="1:12" s="12" customFormat="1" x14ac:dyDescent="0.25">
      <c r="A450" s="186"/>
      <c r="B450" s="62"/>
      <c r="C450" s="62"/>
      <c r="E450" s="62"/>
      <c r="F450" s="21"/>
      <c r="J450" s="25"/>
      <c r="K450" s="25"/>
      <c r="L450"/>
    </row>
  </sheetData>
  <autoFilter ref="A9:L265"/>
  <mergeCells count="265">
    <mergeCell ref="B226:B230"/>
    <mergeCell ref="C226:C230"/>
    <mergeCell ref="D226:D230"/>
    <mergeCell ref="E226:E230"/>
    <mergeCell ref="A221:A225"/>
    <mergeCell ref="B221:B225"/>
    <mergeCell ref="C221:C225"/>
    <mergeCell ref="D221:D225"/>
    <mergeCell ref="E221:E225"/>
    <mergeCell ref="A226:A230"/>
    <mergeCell ref="E236:E240"/>
    <mergeCell ref="A231:A235"/>
    <mergeCell ref="C231:C235"/>
    <mergeCell ref="D231:D235"/>
    <mergeCell ref="E231:E235"/>
    <mergeCell ref="B231:B235"/>
    <mergeCell ref="A236:A240"/>
    <mergeCell ref="B236:B240"/>
    <mergeCell ref="C236:C240"/>
    <mergeCell ref="D236:D240"/>
    <mergeCell ref="B181:B185"/>
    <mergeCell ref="C181:C185"/>
    <mergeCell ref="D181:D185"/>
    <mergeCell ref="E181:E185"/>
    <mergeCell ref="A191:A195"/>
    <mergeCell ref="B191:B195"/>
    <mergeCell ref="C191:C195"/>
    <mergeCell ref="D191:D195"/>
    <mergeCell ref="A166:A170"/>
    <mergeCell ref="B166:B170"/>
    <mergeCell ref="C166:C170"/>
    <mergeCell ref="D166:D170"/>
    <mergeCell ref="E166:E170"/>
    <mergeCell ref="A171:A175"/>
    <mergeCell ref="B171:B175"/>
    <mergeCell ref="C171:C175"/>
    <mergeCell ref="D171:D175"/>
    <mergeCell ref="E171:E175"/>
    <mergeCell ref="A96:A100"/>
    <mergeCell ref="B96:B100"/>
    <mergeCell ref="C96:C100"/>
    <mergeCell ref="D96:D100"/>
    <mergeCell ref="E96:E100"/>
    <mergeCell ref="C156:C160"/>
    <mergeCell ref="D156:D160"/>
    <mergeCell ref="E156:E160"/>
    <mergeCell ref="A216:A220"/>
    <mergeCell ref="B216:B220"/>
    <mergeCell ref="C216:C220"/>
    <mergeCell ref="D216:D220"/>
    <mergeCell ref="E216:E220"/>
    <mergeCell ref="A161:A165"/>
    <mergeCell ref="B161:B165"/>
    <mergeCell ref="C161:C165"/>
    <mergeCell ref="D161:D165"/>
    <mergeCell ref="E161:E165"/>
    <mergeCell ref="A176:A180"/>
    <mergeCell ref="B176:B180"/>
    <mergeCell ref="C176:C180"/>
    <mergeCell ref="D176:D180"/>
    <mergeCell ref="E176:E180"/>
    <mergeCell ref="A181:A185"/>
    <mergeCell ref="E106:E110"/>
    <mergeCell ref="A121:A125"/>
    <mergeCell ref="B121:B125"/>
    <mergeCell ref="C121:C125"/>
    <mergeCell ref="D121:D125"/>
    <mergeCell ref="E121:E125"/>
    <mergeCell ref="A111:A115"/>
    <mergeCell ref="B111:B115"/>
    <mergeCell ref="C111:C115"/>
    <mergeCell ref="D111:D115"/>
    <mergeCell ref="E111:E115"/>
    <mergeCell ref="E116:E120"/>
    <mergeCell ref="A116:A120"/>
    <mergeCell ref="B116:B120"/>
    <mergeCell ref="C116:C120"/>
    <mergeCell ref="D116:D120"/>
    <mergeCell ref="A71:A75"/>
    <mergeCell ref="B71:B75"/>
    <mergeCell ref="C71:C75"/>
    <mergeCell ref="D71:D75"/>
    <mergeCell ref="E71:E75"/>
    <mergeCell ref="A76:A80"/>
    <mergeCell ref="B76:B80"/>
    <mergeCell ref="C76:C80"/>
    <mergeCell ref="D76:D80"/>
    <mergeCell ref="E76:E80"/>
    <mergeCell ref="A81:A85"/>
    <mergeCell ref="B81:B85"/>
    <mergeCell ref="C81:C85"/>
    <mergeCell ref="D81:D85"/>
    <mergeCell ref="E81:E85"/>
    <mergeCell ref="A91:A95"/>
    <mergeCell ref="B91:B95"/>
    <mergeCell ref="C91:C95"/>
    <mergeCell ref="D91:D95"/>
    <mergeCell ref="E91:E95"/>
    <mergeCell ref="A86:A90"/>
    <mergeCell ref="B86:B90"/>
    <mergeCell ref="C86:C90"/>
    <mergeCell ref="D86:D90"/>
    <mergeCell ref="E86:E90"/>
    <mergeCell ref="B56:B60"/>
    <mergeCell ref="C56:C60"/>
    <mergeCell ref="D56:D60"/>
    <mergeCell ref="E56:E60"/>
    <mergeCell ref="A56:A60"/>
    <mergeCell ref="A66:A70"/>
    <mergeCell ref="B66:B70"/>
    <mergeCell ref="C66:C70"/>
    <mergeCell ref="D66:D70"/>
    <mergeCell ref="E66:E70"/>
    <mergeCell ref="A61:A65"/>
    <mergeCell ref="B61:B65"/>
    <mergeCell ref="C61:C65"/>
    <mergeCell ref="D61:D65"/>
    <mergeCell ref="E61:E65"/>
    <mergeCell ref="A46:A50"/>
    <mergeCell ref="B46:B50"/>
    <mergeCell ref="C46:C50"/>
    <mergeCell ref="D46:D50"/>
    <mergeCell ref="E46:E50"/>
    <mergeCell ref="A51:A55"/>
    <mergeCell ref="B51:B55"/>
    <mergeCell ref="C51:C55"/>
    <mergeCell ref="D51:D55"/>
    <mergeCell ref="E51:E55"/>
    <mergeCell ref="A26:A30"/>
    <mergeCell ref="B26:B30"/>
    <mergeCell ref="C26:C30"/>
    <mergeCell ref="D26:D30"/>
    <mergeCell ref="E26:E30"/>
    <mergeCell ref="A31:A35"/>
    <mergeCell ref="B31:B35"/>
    <mergeCell ref="C31:C35"/>
    <mergeCell ref="D31:D35"/>
    <mergeCell ref="E31:E35"/>
    <mergeCell ref="C41:C45"/>
    <mergeCell ref="D41:D45"/>
    <mergeCell ref="E41:E45"/>
    <mergeCell ref="A36:A40"/>
    <mergeCell ref="B36:B40"/>
    <mergeCell ref="C36:C40"/>
    <mergeCell ref="D36:D40"/>
    <mergeCell ref="E36:E40"/>
    <mergeCell ref="A41:A45"/>
    <mergeCell ref="B41:B45"/>
    <mergeCell ref="B1:I1"/>
    <mergeCell ref="A7:A9"/>
    <mergeCell ref="B7:B9"/>
    <mergeCell ref="C7:C9"/>
    <mergeCell ref="D7:D9"/>
    <mergeCell ref="E7:E9"/>
    <mergeCell ref="F7:F9"/>
    <mergeCell ref="G7:I7"/>
    <mergeCell ref="I8:I9"/>
    <mergeCell ref="G8:H8"/>
    <mergeCell ref="A10:A14"/>
    <mergeCell ref="B10:B14"/>
    <mergeCell ref="C10:C14"/>
    <mergeCell ref="D10:D14"/>
    <mergeCell ref="E10:E14"/>
    <mergeCell ref="B16:B20"/>
    <mergeCell ref="B21:B25"/>
    <mergeCell ref="C16:C20"/>
    <mergeCell ref="D16:D20"/>
    <mergeCell ref="C21:C25"/>
    <mergeCell ref="D21:D25"/>
    <mergeCell ref="E21:E25"/>
    <mergeCell ref="E16:E20"/>
    <mergeCell ref="A16:A20"/>
    <mergeCell ref="A21:A25"/>
    <mergeCell ref="A136:A140"/>
    <mergeCell ref="B136:B140"/>
    <mergeCell ref="C136:C140"/>
    <mergeCell ref="D136:D140"/>
    <mergeCell ref="E136:E140"/>
    <mergeCell ref="A101:A105"/>
    <mergeCell ref="B101:B105"/>
    <mergeCell ref="C101:C105"/>
    <mergeCell ref="D101:D105"/>
    <mergeCell ref="A106:A110"/>
    <mergeCell ref="B106:B110"/>
    <mergeCell ref="C106:C110"/>
    <mergeCell ref="D106:D110"/>
    <mergeCell ref="A126:A130"/>
    <mergeCell ref="B126:B130"/>
    <mergeCell ref="C126:C130"/>
    <mergeCell ref="D126:D130"/>
    <mergeCell ref="E126:E130"/>
    <mergeCell ref="E101:E105"/>
    <mergeCell ref="A131:A135"/>
    <mergeCell ref="B131:B135"/>
    <mergeCell ref="C131:C135"/>
    <mergeCell ref="D131:D135"/>
    <mergeCell ref="E131:E135"/>
    <mergeCell ref="D206:D210"/>
    <mergeCell ref="E206:E210"/>
    <mergeCell ref="A141:A145"/>
    <mergeCell ref="B141:B145"/>
    <mergeCell ref="C141:C145"/>
    <mergeCell ref="D141:D145"/>
    <mergeCell ref="E141:E145"/>
    <mergeCell ref="A186:A190"/>
    <mergeCell ref="B186:B190"/>
    <mergeCell ref="C186:C190"/>
    <mergeCell ref="D186:D190"/>
    <mergeCell ref="E186:E190"/>
    <mergeCell ref="A146:A150"/>
    <mergeCell ref="B146:B150"/>
    <mergeCell ref="C146:C150"/>
    <mergeCell ref="D146:D150"/>
    <mergeCell ref="E146:E150"/>
    <mergeCell ref="A151:A155"/>
    <mergeCell ref="B151:B155"/>
    <mergeCell ref="C151:C155"/>
    <mergeCell ref="D151:D155"/>
    <mergeCell ref="E151:E155"/>
    <mergeCell ref="A156:A160"/>
    <mergeCell ref="B156:B160"/>
    <mergeCell ref="A241:A245"/>
    <mergeCell ref="B241:B245"/>
    <mergeCell ref="C241:C245"/>
    <mergeCell ref="D241:D245"/>
    <mergeCell ref="E241:E245"/>
    <mergeCell ref="E191:E195"/>
    <mergeCell ref="A196:A200"/>
    <mergeCell ref="B196:B200"/>
    <mergeCell ref="C196:C200"/>
    <mergeCell ref="D196:D200"/>
    <mergeCell ref="E196:E200"/>
    <mergeCell ref="A211:A215"/>
    <mergeCell ref="B211:B215"/>
    <mergeCell ref="C211:C215"/>
    <mergeCell ref="D211:D215"/>
    <mergeCell ref="E211:E215"/>
    <mergeCell ref="A201:A205"/>
    <mergeCell ref="B201:B205"/>
    <mergeCell ref="C201:C205"/>
    <mergeCell ref="D201:D205"/>
    <mergeCell ref="E201:E205"/>
    <mergeCell ref="A206:A210"/>
    <mergeCell ref="B206:B210"/>
    <mergeCell ref="C206:C210"/>
    <mergeCell ref="A246:A250"/>
    <mergeCell ref="B246:B250"/>
    <mergeCell ref="C246:C250"/>
    <mergeCell ref="D246:D250"/>
    <mergeCell ref="E246:E250"/>
    <mergeCell ref="A251:A255"/>
    <mergeCell ref="B251:B255"/>
    <mergeCell ref="C251:C255"/>
    <mergeCell ref="D251:D255"/>
    <mergeCell ref="E251:E255"/>
    <mergeCell ref="A256:A260"/>
    <mergeCell ref="B256:B260"/>
    <mergeCell ref="C256:C260"/>
    <mergeCell ref="D256:D260"/>
    <mergeCell ref="E256:E260"/>
    <mergeCell ref="A261:A265"/>
    <mergeCell ref="B261:B265"/>
    <mergeCell ref="C261:C265"/>
    <mergeCell ref="D261:D265"/>
    <mergeCell ref="E261:E265"/>
  </mergeCells>
  <printOptions horizontalCentered="1"/>
  <pageMargins left="0.31496062992125984" right="0.31496062992125984" top="0.35433070866141736" bottom="0.31496062992125984" header="0.31496062992125984" footer="0.31496062992125984"/>
  <pageSetup paperSize="9" scale="62" firstPageNumber="4" fitToHeight="7" orientation="landscape" useFirstPageNumber="1" r:id="rId1"/>
  <headerFooter>
    <oddFooter>&amp;R&amp;"Times New Roman,обычный"&amp;P</oddFooter>
  </headerFooter>
  <rowBreaks count="1" manualBreakCount="1">
    <brk id="105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только 2024</vt:lpstr>
      <vt:lpstr>общий</vt:lpstr>
      <vt:lpstr>2024-2026</vt:lpstr>
      <vt:lpstr>'2024-2026'!Заголовки_для_печати</vt:lpstr>
      <vt:lpstr>'только 2024'!Заголовки_для_печати</vt:lpstr>
      <vt:lpstr>'2024-2026'!Область_печати</vt:lpstr>
      <vt:lpstr>общий!Область_печати</vt:lpstr>
      <vt:lpstr>'только 2024'!Область_печати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Новикова Людмила Александровна</dc:creator>
  <cp:lastModifiedBy>Валентина Скрипкина</cp:lastModifiedBy>
  <cp:lastPrinted>2024-07-17T03:38:45Z</cp:lastPrinted>
  <dcterms:created xsi:type="dcterms:W3CDTF">2022-10-07T09:50:36Z</dcterms:created>
  <dcterms:modified xsi:type="dcterms:W3CDTF">2024-07-17T03:39:26Z</dcterms:modified>
</cp:coreProperties>
</file>